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8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9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0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GoogleDrive\OUP equity handbook\Exercises - Final Set\"/>
    </mc:Choice>
  </mc:AlternateContent>
  <xr:revisionPtr revIDLastSave="0" documentId="13_ncr:1_{BB178DE3-74DB-4053-82D1-EBB75109D03E}" xr6:coauthVersionLast="45" xr6:coauthVersionMax="45" xr10:uidLastSave="{00000000-0000-0000-0000-000000000000}"/>
  <bookViews>
    <workbookView xWindow="2025" yWindow="750" windowWidth="20205" windowHeight="14850" tabRatio="784" xr2:uid="{00000000-000D-0000-FFFF-FFFF00000000}"/>
  </bookViews>
  <sheets>
    <sheet name="Title sheet" sheetId="14" r:id="rId1"/>
    <sheet name="PD" sheetId="15" r:id="rId2"/>
    <sheet name="FOSD" sheetId="2" r:id="rId3"/>
    <sheet name="LD" sheetId="5" r:id="rId4"/>
    <sheet name="GLD" sheetId="4" r:id="rId5"/>
    <sheet name="SOGLD" sheetId="3" r:id="rId6"/>
    <sheet name="SES Only" sheetId="16" r:id="rId7"/>
    <sheet name="CD" sheetId="11" r:id="rId8"/>
    <sheet name="GCD" sheetId="12" r:id="rId9"/>
    <sheet name="SOGCD" sheetId="13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11" l="1"/>
  <c r="F11" i="11"/>
  <c r="D11" i="11"/>
  <c r="E11" i="16"/>
  <c r="F11" i="16"/>
  <c r="D11" i="16"/>
  <c r="I10" i="16" l="1"/>
  <c r="H10" i="16"/>
  <c r="I9" i="16"/>
  <c r="H9" i="16"/>
  <c r="I8" i="16"/>
  <c r="H8" i="16"/>
  <c r="I7" i="16"/>
  <c r="H7" i="16"/>
  <c r="I6" i="16"/>
  <c r="H6" i="16"/>
  <c r="H5" i="11"/>
  <c r="G6" i="11"/>
  <c r="H6" i="11" s="1"/>
  <c r="I11" i="16" l="1"/>
  <c r="K6" i="11"/>
  <c r="J6" i="11"/>
  <c r="I6" i="11"/>
  <c r="J11" i="16"/>
  <c r="H11" i="16"/>
  <c r="G7" i="11"/>
  <c r="H7" i="11" s="1"/>
  <c r="C6" i="12"/>
  <c r="C6" i="13" s="1"/>
  <c r="J7" i="11" l="1"/>
  <c r="I7" i="11"/>
  <c r="K7" i="11"/>
  <c r="C7" i="12"/>
  <c r="C7" i="13" s="1"/>
  <c r="G8" i="11"/>
  <c r="C8" i="12" s="1"/>
  <c r="C8" i="13" s="1"/>
  <c r="G9" i="11" l="1"/>
  <c r="H9" i="11" s="1"/>
  <c r="H8" i="11"/>
  <c r="I8" i="11" s="1"/>
  <c r="I9" i="11" s="1"/>
  <c r="K8" i="11" l="1"/>
  <c r="J8" i="11"/>
  <c r="C9" i="12"/>
  <c r="C9" i="13" s="1"/>
  <c r="K9" i="11"/>
  <c r="G10" i="11"/>
  <c r="H10" i="11" s="1"/>
  <c r="I10" i="11" s="1"/>
  <c r="J9" i="11"/>
  <c r="C10" i="12" l="1"/>
  <c r="C10" i="13" s="1"/>
  <c r="K10" i="11"/>
  <c r="J10" i="11"/>
  <c r="O6" i="15"/>
  <c r="P6" i="15" s="1"/>
  <c r="O7" i="15"/>
  <c r="P7" i="15" s="1"/>
  <c r="O9" i="15"/>
  <c r="P9" i="15" s="1"/>
  <c r="O10" i="15"/>
  <c r="O11" i="15"/>
  <c r="P11" i="15" s="1"/>
  <c r="O12" i="15"/>
  <c r="O13" i="15"/>
  <c r="P13" i="15" s="1"/>
  <c r="O5" i="15"/>
  <c r="P5" i="15" s="1"/>
  <c r="H6" i="15"/>
  <c r="M6" i="15" s="1"/>
  <c r="N6" i="15" s="1"/>
  <c r="H7" i="15"/>
  <c r="M7" i="15" s="1"/>
  <c r="H8" i="15"/>
  <c r="M8" i="15" s="1"/>
  <c r="N8" i="15" s="1"/>
  <c r="H9" i="15"/>
  <c r="M9" i="15" s="1"/>
  <c r="N9" i="15" s="1"/>
  <c r="H10" i="15"/>
  <c r="M10" i="15" s="1"/>
  <c r="N10" i="15" s="1"/>
  <c r="H11" i="15"/>
  <c r="M11" i="15" s="1"/>
  <c r="N11" i="15" s="1"/>
  <c r="H12" i="15"/>
  <c r="M12" i="15" s="1"/>
  <c r="N12" i="15" s="1"/>
  <c r="H13" i="15"/>
  <c r="H14" i="15"/>
  <c r="M14" i="15" s="1"/>
  <c r="N14" i="15" s="1"/>
  <c r="H5" i="15"/>
  <c r="G6" i="15"/>
  <c r="K6" i="15" s="1"/>
  <c r="L6" i="15" s="1"/>
  <c r="G7" i="15"/>
  <c r="K7" i="15" s="1"/>
  <c r="L7" i="15" s="1"/>
  <c r="G8" i="15"/>
  <c r="G9" i="15"/>
  <c r="K9" i="15" s="1"/>
  <c r="G10" i="15"/>
  <c r="K10" i="15" s="1"/>
  <c r="G11" i="15"/>
  <c r="K11" i="15" s="1"/>
  <c r="L11" i="15" s="1"/>
  <c r="G12" i="15"/>
  <c r="G13" i="15"/>
  <c r="K13" i="15" s="1"/>
  <c r="L13" i="15" s="1"/>
  <c r="G14" i="15"/>
  <c r="K14" i="15" s="1"/>
  <c r="G5" i="15"/>
  <c r="K5" i="15" s="1"/>
  <c r="L5" i="15" s="1"/>
  <c r="M13" i="15" l="1"/>
  <c r="N13" i="15" s="1"/>
  <c r="O14" i="15"/>
  <c r="P14" i="15" s="1"/>
  <c r="P12" i="15"/>
  <c r="K12" i="15"/>
  <c r="L12" i="15" s="1"/>
  <c r="L10" i="15"/>
  <c r="P10" i="15"/>
  <c r="L14" i="15"/>
  <c r="O8" i="15"/>
  <c r="P8" i="15" s="1"/>
  <c r="P16" i="15" s="1"/>
  <c r="N7" i="15"/>
  <c r="M5" i="15"/>
  <c r="N5" i="15" s="1"/>
  <c r="K8" i="15"/>
  <c r="L8" i="15" s="1"/>
  <c r="L16" i="15" s="1"/>
  <c r="L9" i="15"/>
  <c r="P15" i="15" l="1"/>
  <c r="P17" i="15" s="1"/>
  <c r="O18" i="15" s="1"/>
  <c r="L15" i="15"/>
  <c r="N16" i="15"/>
  <c r="N15" i="15"/>
  <c r="L17" i="15" l="1"/>
  <c r="K18" i="15" s="1"/>
  <c r="N17" i="15"/>
  <c r="M18" i="15" s="1"/>
  <c r="F15" i="2" l="1"/>
  <c r="G15" i="2"/>
  <c r="E15" i="2"/>
  <c r="H5" i="13" l="1"/>
  <c r="I5" i="13"/>
  <c r="H5" i="12"/>
  <c r="I5" i="12"/>
  <c r="D6" i="12"/>
  <c r="L5" i="11"/>
  <c r="M5" i="11"/>
  <c r="E6" i="12" l="1"/>
  <c r="F6" i="12"/>
  <c r="G6" i="12"/>
  <c r="D6" i="13"/>
  <c r="F6" i="13" l="1"/>
  <c r="E6" i="13"/>
  <c r="G6" i="13"/>
  <c r="H6" i="12"/>
  <c r="P6" i="12"/>
  <c r="D7" i="12"/>
  <c r="F7" i="12" s="1"/>
  <c r="M6" i="12"/>
  <c r="J6" i="12"/>
  <c r="I6" i="12"/>
  <c r="G7" i="12" l="1"/>
  <c r="E7" i="12"/>
  <c r="J7" i="12" s="1"/>
  <c r="D27" i="2"/>
  <c r="D8" i="12"/>
  <c r="F8" i="12" s="1"/>
  <c r="D7" i="13"/>
  <c r="G7" i="13" s="1"/>
  <c r="Q6" i="12"/>
  <c r="R6" i="12" s="1"/>
  <c r="K6" i="12"/>
  <c r="L6" i="12" s="1"/>
  <c r="N6" i="12"/>
  <c r="O6" i="12" s="1"/>
  <c r="E7" i="13" l="1"/>
  <c r="F7" i="13"/>
  <c r="E8" i="12"/>
  <c r="G8" i="12"/>
  <c r="I7" i="12"/>
  <c r="M7" i="12"/>
  <c r="N7" i="12" s="1"/>
  <c r="O7" i="12" s="1"/>
  <c r="K7" i="12"/>
  <c r="L7" i="12" s="1"/>
  <c r="H7" i="12"/>
  <c r="P7" i="12"/>
  <c r="D9" i="12"/>
  <c r="F9" i="12" s="1"/>
  <c r="D10" i="12"/>
  <c r="D8" i="13"/>
  <c r="G8" i="13" s="1"/>
  <c r="F8" i="13" l="1"/>
  <c r="E8" i="13"/>
  <c r="E9" i="12"/>
  <c r="E10" i="12" s="1"/>
  <c r="F10" i="12"/>
  <c r="G9" i="12"/>
  <c r="G10" i="12" s="1"/>
  <c r="I8" i="12"/>
  <c r="M8" i="12"/>
  <c r="N8" i="12" s="1"/>
  <c r="O8" i="12" s="1"/>
  <c r="J8" i="12"/>
  <c r="K8" i="12" s="1"/>
  <c r="L8" i="12" s="1"/>
  <c r="D10" i="13"/>
  <c r="H8" i="12"/>
  <c r="P8" i="12"/>
  <c r="D9" i="13"/>
  <c r="G9" i="13" s="1"/>
  <c r="G10" i="13" s="1"/>
  <c r="Q7" i="12"/>
  <c r="R7" i="12" s="1"/>
  <c r="I5" i="3"/>
  <c r="H5" i="3"/>
  <c r="E9" i="13" l="1"/>
  <c r="F9" i="13"/>
  <c r="E10" i="13"/>
  <c r="F10" i="13"/>
  <c r="J6" i="13"/>
  <c r="K6" i="13" s="1"/>
  <c r="L6" i="13" s="1"/>
  <c r="I6" i="13"/>
  <c r="M6" i="13"/>
  <c r="N6" i="13" s="1"/>
  <c r="O6" i="13" s="1"/>
  <c r="P6" i="13"/>
  <c r="Q6" i="13" s="1"/>
  <c r="R6" i="13" s="1"/>
  <c r="H6" i="13"/>
  <c r="M9" i="12"/>
  <c r="J9" i="12"/>
  <c r="Q8" i="12"/>
  <c r="R8" i="12" s="1"/>
  <c r="I9" i="12"/>
  <c r="H9" i="12"/>
  <c r="P9" i="12"/>
  <c r="C5" i="3"/>
  <c r="I7" i="13" l="1"/>
  <c r="M7" i="13"/>
  <c r="N7" i="13" s="1"/>
  <c r="O7" i="13" s="1"/>
  <c r="J7" i="13"/>
  <c r="K7" i="13" s="1"/>
  <c r="L7" i="13" s="1"/>
  <c r="H7" i="13"/>
  <c r="P7" i="13"/>
  <c r="Q7" i="13" s="1"/>
  <c r="R7" i="13" s="1"/>
  <c r="M10" i="12"/>
  <c r="J10" i="12"/>
  <c r="H10" i="12"/>
  <c r="P10" i="12"/>
  <c r="Q9" i="12"/>
  <c r="R9" i="12" s="1"/>
  <c r="K9" i="12"/>
  <c r="L9" i="12" s="1"/>
  <c r="I10" i="12"/>
  <c r="N9" i="12"/>
  <c r="O9" i="12" s="1"/>
  <c r="C5" i="5"/>
  <c r="I5" i="4"/>
  <c r="H5" i="4"/>
  <c r="C5" i="4"/>
  <c r="J8" i="13" l="1"/>
  <c r="K8" i="13" s="1"/>
  <c r="L8" i="13" s="1"/>
  <c r="I8" i="13"/>
  <c r="M8" i="13"/>
  <c r="N8" i="13" s="1"/>
  <c r="O8" i="13" s="1"/>
  <c r="H8" i="13"/>
  <c r="P8" i="13"/>
  <c r="Q8" i="13" s="1"/>
  <c r="R8" i="13" s="1"/>
  <c r="Q10" i="12"/>
  <c r="R10" i="12" s="1"/>
  <c r="K10" i="12"/>
  <c r="L10" i="12" s="1"/>
  <c r="N10" i="12"/>
  <c r="O10" i="12" s="1"/>
  <c r="J9" i="13" l="1"/>
  <c r="K9" i="13" s="1"/>
  <c r="L9" i="13" s="1"/>
  <c r="I9" i="13"/>
  <c r="M9" i="13"/>
  <c r="N9" i="13" s="1"/>
  <c r="O9" i="13" s="1"/>
  <c r="L6" i="11"/>
  <c r="T6" i="11"/>
  <c r="U6" i="11" s="1"/>
  <c r="V6" i="11" s="1"/>
  <c r="N6" i="11"/>
  <c r="O6" i="11" s="1"/>
  <c r="P6" i="11" s="1"/>
  <c r="M6" i="11"/>
  <c r="Q7" i="11"/>
  <c r="R7" i="11" s="1"/>
  <c r="S7" i="11" s="1"/>
  <c r="P9" i="13"/>
  <c r="Q9" i="13" s="1"/>
  <c r="R9" i="13" s="1"/>
  <c r="H9" i="13"/>
  <c r="Q6" i="11"/>
  <c r="R6" i="11" s="1"/>
  <c r="S6" i="11" s="1"/>
  <c r="O12" i="12"/>
  <c r="O13" i="12" s="1"/>
  <c r="O11" i="12"/>
  <c r="L11" i="12"/>
  <c r="L12" i="12"/>
  <c r="L13" i="12" s="1"/>
  <c r="R12" i="12"/>
  <c r="R13" i="12" s="1"/>
  <c r="R11" i="12"/>
  <c r="B17" i="12" l="1"/>
  <c r="J10" i="13"/>
  <c r="K10" i="13" s="1"/>
  <c r="L10" i="13" s="1"/>
  <c r="L12" i="13" s="1"/>
  <c r="L13" i="13" s="1"/>
  <c r="I10" i="13"/>
  <c r="M10" i="13"/>
  <c r="N10" i="13" s="1"/>
  <c r="O10" i="13" s="1"/>
  <c r="O11" i="13" s="1"/>
  <c r="M7" i="11"/>
  <c r="Q8" i="11"/>
  <c r="R8" i="11" s="1"/>
  <c r="S8" i="11" s="1"/>
  <c r="L7" i="11"/>
  <c r="T7" i="11"/>
  <c r="U7" i="11" s="1"/>
  <c r="V7" i="11" s="1"/>
  <c r="H10" i="13"/>
  <c r="P10" i="13"/>
  <c r="Q10" i="13" s="1"/>
  <c r="R10" i="13" s="1"/>
  <c r="R12" i="13" s="1"/>
  <c r="R13" i="13" s="1"/>
  <c r="N7" i="11"/>
  <c r="O7" i="11" s="1"/>
  <c r="P7" i="11" s="1"/>
  <c r="B15" i="12"/>
  <c r="B16" i="12"/>
  <c r="D20" i="2"/>
  <c r="D21" i="2"/>
  <c r="D22" i="2"/>
  <c r="D23" i="2"/>
  <c r="D24" i="2"/>
  <c r="D25" i="2"/>
  <c r="D26" i="2"/>
  <c r="D28" i="2"/>
  <c r="D29" i="2"/>
  <c r="E20" i="2"/>
  <c r="E21" i="2"/>
  <c r="E22" i="2"/>
  <c r="E23" i="2"/>
  <c r="E24" i="2"/>
  <c r="E25" i="2"/>
  <c r="E26" i="2"/>
  <c r="E27" i="2"/>
  <c r="E50" i="2" s="1"/>
  <c r="J50" i="2" s="1"/>
  <c r="K50" i="2" s="1"/>
  <c r="E28" i="2"/>
  <c r="E29" i="2"/>
  <c r="E47" i="2" l="1"/>
  <c r="L11" i="13"/>
  <c r="E52" i="2"/>
  <c r="J52" i="2" s="1"/>
  <c r="K52" i="2" s="1"/>
  <c r="E48" i="2"/>
  <c r="J48" i="2" s="1"/>
  <c r="K48" i="2" s="1"/>
  <c r="E49" i="2"/>
  <c r="J49" i="2" s="1"/>
  <c r="K49" i="2" s="1"/>
  <c r="E45" i="2"/>
  <c r="J45" i="2" s="1"/>
  <c r="O12" i="13"/>
  <c r="O13" i="13" s="1"/>
  <c r="R11" i="13"/>
  <c r="B17" i="13" s="1"/>
  <c r="L8" i="11"/>
  <c r="T8" i="11"/>
  <c r="U8" i="11" s="1"/>
  <c r="V8" i="11" s="1"/>
  <c r="N8" i="11"/>
  <c r="O8" i="11" s="1"/>
  <c r="P8" i="11" s="1"/>
  <c r="M8" i="11"/>
  <c r="D44" i="2"/>
  <c r="H44" i="2" s="1"/>
  <c r="I44" i="2" s="1"/>
  <c r="E44" i="2"/>
  <c r="J44" i="2" s="1"/>
  <c r="K44" i="2" s="1"/>
  <c r="E51" i="2"/>
  <c r="J47" i="2"/>
  <c r="K47" i="2" s="1"/>
  <c r="D43" i="2"/>
  <c r="E43" i="2"/>
  <c r="E46" i="2"/>
  <c r="J46" i="2" s="1"/>
  <c r="K46" i="2" s="1"/>
  <c r="C6" i="3"/>
  <c r="D6" i="3" s="1"/>
  <c r="C6" i="5"/>
  <c r="D6" i="5" s="1"/>
  <c r="C6" i="4"/>
  <c r="D6" i="4" s="1"/>
  <c r="D45" i="2"/>
  <c r="D52" i="2"/>
  <c r="H52" i="2" s="1"/>
  <c r="I52" i="2" s="1"/>
  <c r="D48" i="2"/>
  <c r="H48" i="2" s="1"/>
  <c r="I48" i="2" s="1"/>
  <c r="D50" i="2"/>
  <c r="H50" i="2" s="1"/>
  <c r="I50" i="2" s="1"/>
  <c r="D46" i="2"/>
  <c r="H46" i="2" s="1"/>
  <c r="I46" i="2" s="1"/>
  <c r="C51" i="2"/>
  <c r="C47" i="2"/>
  <c r="C43" i="2"/>
  <c r="D51" i="2"/>
  <c r="D47" i="2"/>
  <c r="C50" i="2"/>
  <c r="C46" i="2"/>
  <c r="C49" i="2"/>
  <c r="C45" i="2"/>
  <c r="D49" i="2"/>
  <c r="C52" i="2"/>
  <c r="C48" i="2"/>
  <c r="C44" i="2"/>
  <c r="B16" i="13" l="1"/>
  <c r="B15" i="13"/>
  <c r="K45" i="2"/>
  <c r="M10" i="11"/>
  <c r="M9" i="11"/>
  <c r="Q9" i="11"/>
  <c r="R9" i="11" s="1"/>
  <c r="S9" i="11" s="1"/>
  <c r="N10" i="11"/>
  <c r="L9" i="11"/>
  <c r="T9" i="11"/>
  <c r="U9" i="11" s="1"/>
  <c r="V9" i="11" s="1"/>
  <c r="N9" i="11"/>
  <c r="O9" i="11" s="1"/>
  <c r="P9" i="11" s="1"/>
  <c r="H47" i="2"/>
  <c r="I47" i="2" s="1"/>
  <c r="H51" i="2"/>
  <c r="I51" i="2" s="1"/>
  <c r="H45" i="2"/>
  <c r="I45" i="2" s="1"/>
  <c r="J43" i="2"/>
  <c r="K43" i="2" s="1"/>
  <c r="J51" i="2"/>
  <c r="K51" i="2" s="1"/>
  <c r="H49" i="2"/>
  <c r="I49" i="2" s="1"/>
  <c r="H43" i="2"/>
  <c r="I43" i="2" s="1"/>
  <c r="F44" i="2"/>
  <c r="G44" i="2" s="1"/>
  <c r="F52" i="2"/>
  <c r="G52" i="2" s="1"/>
  <c r="F49" i="2"/>
  <c r="G49" i="2" s="1"/>
  <c r="F51" i="2"/>
  <c r="G51" i="2" s="1"/>
  <c r="F50" i="2"/>
  <c r="G50" i="2" s="1"/>
  <c r="F46" i="2"/>
  <c r="G46" i="2" s="1"/>
  <c r="F43" i="2"/>
  <c r="G43" i="2" s="1"/>
  <c r="F48" i="2"/>
  <c r="G48" i="2" s="1"/>
  <c r="F45" i="2"/>
  <c r="G45" i="2" s="1"/>
  <c r="F47" i="2"/>
  <c r="G47" i="2" s="1"/>
  <c r="C7" i="3"/>
  <c r="D7" i="3" s="1"/>
  <c r="C7" i="4"/>
  <c r="D7" i="4" s="1"/>
  <c r="C7" i="5"/>
  <c r="D7" i="5" s="1"/>
  <c r="F6" i="4"/>
  <c r="G6" i="4"/>
  <c r="F6" i="3"/>
  <c r="G6" i="5"/>
  <c r="F6" i="5"/>
  <c r="K54" i="2" l="1"/>
  <c r="K53" i="2"/>
  <c r="G54" i="2"/>
  <c r="G53" i="2"/>
  <c r="I53" i="2"/>
  <c r="I54" i="2"/>
  <c r="J6" i="5"/>
  <c r="O6" i="5" s="1"/>
  <c r="P6" i="5" s="1"/>
  <c r="O10" i="11"/>
  <c r="P10" i="11" s="1"/>
  <c r="P11" i="11" s="1"/>
  <c r="Q10" i="11"/>
  <c r="L10" i="11"/>
  <c r="T10" i="11"/>
  <c r="G6" i="3"/>
  <c r="J6" i="3" s="1"/>
  <c r="J6" i="4"/>
  <c r="G7" i="5"/>
  <c r="I6" i="5"/>
  <c r="F7" i="4"/>
  <c r="C8" i="3"/>
  <c r="C8" i="5"/>
  <c r="D8" i="5" s="1"/>
  <c r="C8" i="4"/>
  <c r="D8" i="4" s="1"/>
  <c r="F7" i="5"/>
  <c r="F7" i="3"/>
  <c r="H6" i="3"/>
  <c r="G7" i="4"/>
  <c r="I6" i="4"/>
  <c r="G55" i="2" l="1"/>
  <c r="B32" i="2" s="1"/>
  <c r="J7" i="5"/>
  <c r="O7" i="5" s="1"/>
  <c r="P7" i="5" s="1"/>
  <c r="U10" i="11"/>
  <c r="V10" i="11" s="1"/>
  <c r="R10" i="11"/>
  <c r="S10" i="11" s="1"/>
  <c r="P12" i="11"/>
  <c r="P13" i="11" s="1"/>
  <c r="K6" i="3"/>
  <c r="L6" i="3" s="1"/>
  <c r="M6" i="4"/>
  <c r="N6" i="4" s="1"/>
  <c r="K6" i="5"/>
  <c r="L6" i="5" s="1"/>
  <c r="O6" i="3"/>
  <c r="P6" i="3" s="1"/>
  <c r="G7" i="3"/>
  <c r="J7" i="3" s="1"/>
  <c r="J7" i="4"/>
  <c r="I6" i="3"/>
  <c r="M6" i="5"/>
  <c r="N6" i="5" s="1"/>
  <c r="I55" i="2"/>
  <c r="B33" i="2" s="1"/>
  <c r="K6" i="4"/>
  <c r="L6" i="4" s="1"/>
  <c r="O6" i="4"/>
  <c r="P6" i="4" s="1"/>
  <c r="K55" i="2"/>
  <c r="B34" i="2" s="1"/>
  <c r="I7" i="4"/>
  <c r="G8" i="4"/>
  <c r="G8" i="5"/>
  <c r="I7" i="5"/>
  <c r="F8" i="5"/>
  <c r="K7" i="5"/>
  <c r="L7" i="5" s="1"/>
  <c r="D8" i="3"/>
  <c r="F8" i="4"/>
  <c r="H7" i="3"/>
  <c r="C9" i="3"/>
  <c r="C9" i="5"/>
  <c r="D9" i="5" s="1"/>
  <c r="C9" i="4"/>
  <c r="D9" i="4" s="1"/>
  <c r="J8" i="4" l="1"/>
  <c r="O8" i="4" s="1"/>
  <c r="P8" i="4" s="1"/>
  <c r="B15" i="11"/>
  <c r="V12" i="11"/>
  <c r="V13" i="11" s="1"/>
  <c r="V11" i="11"/>
  <c r="S11" i="11"/>
  <c r="S12" i="11"/>
  <c r="S13" i="11" s="1"/>
  <c r="K7" i="3"/>
  <c r="L7" i="3" s="1"/>
  <c r="K7" i="4"/>
  <c r="L7" i="4" s="1"/>
  <c r="M7" i="4"/>
  <c r="N7" i="4" s="1"/>
  <c r="M7" i="5"/>
  <c r="N7" i="5" s="1"/>
  <c r="M6" i="3"/>
  <c r="N6" i="3" s="1"/>
  <c r="J8" i="5"/>
  <c r="O7" i="4"/>
  <c r="P7" i="4" s="1"/>
  <c r="O7" i="3"/>
  <c r="P7" i="3" s="1"/>
  <c r="F8" i="3"/>
  <c r="C10" i="3"/>
  <c r="C10" i="5"/>
  <c r="D10" i="5" s="1"/>
  <c r="C10" i="4"/>
  <c r="D10" i="4" s="1"/>
  <c r="F9" i="4"/>
  <c r="F9" i="5"/>
  <c r="G9" i="4"/>
  <c r="I8" i="4"/>
  <c r="G9" i="5"/>
  <c r="I8" i="5"/>
  <c r="M8" i="5" s="1"/>
  <c r="N8" i="5" s="1"/>
  <c r="D9" i="3"/>
  <c r="E9" i="3" s="1"/>
  <c r="G8" i="3"/>
  <c r="I7" i="3"/>
  <c r="M7" i="3" s="1"/>
  <c r="N7" i="3" s="1"/>
  <c r="J9" i="5" l="1"/>
  <c r="O9" i="5" s="1"/>
  <c r="P9" i="5" s="1"/>
  <c r="B16" i="11"/>
  <c r="B17" i="11"/>
  <c r="J9" i="4"/>
  <c r="O8" i="5"/>
  <c r="P8" i="5" s="1"/>
  <c r="K8" i="5"/>
  <c r="L8" i="5" s="1"/>
  <c r="J8" i="3"/>
  <c r="O8" i="3" s="1"/>
  <c r="P8" i="3" s="1"/>
  <c r="M8" i="4"/>
  <c r="N8" i="4" s="1"/>
  <c r="K8" i="4"/>
  <c r="L8" i="4" s="1"/>
  <c r="F9" i="3"/>
  <c r="H8" i="3"/>
  <c r="K8" i="3" s="1"/>
  <c r="L8" i="3" s="1"/>
  <c r="F10" i="5"/>
  <c r="K9" i="5"/>
  <c r="L9" i="5" s="1"/>
  <c r="G10" i="5"/>
  <c r="I9" i="5"/>
  <c r="F10" i="4"/>
  <c r="C11" i="3"/>
  <c r="C11" i="4"/>
  <c r="D11" i="4" s="1"/>
  <c r="C11" i="5"/>
  <c r="D11" i="5" s="1"/>
  <c r="G10" i="4"/>
  <c r="I9" i="4"/>
  <c r="D10" i="3"/>
  <c r="E10" i="3" s="1"/>
  <c r="G9" i="3"/>
  <c r="I8" i="3"/>
  <c r="J9" i="3" l="1"/>
  <c r="M9" i="4"/>
  <c r="N9" i="4" s="1"/>
  <c r="M9" i="5"/>
  <c r="N9" i="5" s="1"/>
  <c r="O9" i="4"/>
  <c r="P9" i="4" s="1"/>
  <c r="M8" i="3"/>
  <c r="N8" i="3" s="1"/>
  <c r="J10" i="4"/>
  <c r="J10" i="5"/>
  <c r="O9" i="3"/>
  <c r="P9" i="3" s="1"/>
  <c r="K9" i="4"/>
  <c r="L9" i="4" s="1"/>
  <c r="H9" i="3"/>
  <c r="F11" i="4"/>
  <c r="F11" i="5"/>
  <c r="D11" i="3"/>
  <c r="E11" i="3" s="1"/>
  <c r="C12" i="3"/>
  <c r="C12" i="5"/>
  <c r="D12" i="5" s="1"/>
  <c r="C12" i="4"/>
  <c r="D12" i="4" s="1"/>
  <c r="G11" i="5"/>
  <c r="I10" i="5"/>
  <c r="M10" i="5" s="1"/>
  <c r="N10" i="5" s="1"/>
  <c r="G10" i="3"/>
  <c r="I9" i="3"/>
  <c r="M9" i="3" s="1"/>
  <c r="N9" i="3" s="1"/>
  <c r="G11" i="4"/>
  <c r="I10" i="4"/>
  <c r="F10" i="3"/>
  <c r="J11" i="4" l="1"/>
  <c r="O11" i="4" s="1"/>
  <c r="P11" i="4" s="1"/>
  <c r="J11" i="5"/>
  <c r="O11" i="5" s="1"/>
  <c r="P11" i="5" s="1"/>
  <c r="K10" i="4"/>
  <c r="L10" i="4" s="1"/>
  <c r="J10" i="3"/>
  <c r="O10" i="3" s="1"/>
  <c r="P10" i="3" s="1"/>
  <c r="K10" i="5"/>
  <c r="L10" i="5" s="1"/>
  <c r="O10" i="5"/>
  <c r="P10" i="5" s="1"/>
  <c r="M10" i="4"/>
  <c r="N10" i="4" s="1"/>
  <c r="K9" i="3"/>
  <c r="L9" i="3" s="1"/>
  <c r="O10" i="4"/>
  <c r="P10" i="4" s="1"/>
  <c r="H10" i="3"/>
  <c r="K10" i="3" s="1"/>
  <c r="L10" i="3" s="1"/>
  <c r="D12" i="3"/>
  <c r="E12" i="3" s="1"/>
  <c r="F12" i="4"/>
  <c r="G12" i="5"/>
  <c r="I11" i="5"/>
  <c r="G12" i="4"/>
  <c r="I11" i="4"/>
  <c r="G11" i="3"/>
  <c r="I10" i="3"/>
  <c r="F11" i="3"/>
  <c r="F12" i="5"/>
  <c r="K11" i="5"/>
  <c r="L11" i="5" s="1"/>
  <c r="C13" i="3"/>
  <c r="C13" i="5"/>
  <c r="D13" i="5" s="1"/>
  <c r="C13" i="4"/>
  <c r="D13" i="4" s="1"/>
  <c r="J12" i="4" l="1"/>
  <c r="O12" i="4" s="1"/>
  <c r="P12" i="4" s="1"/>
  <c r="J12" i="5"/>
  <c r="O12" i="5" s="1"/>
  <c r="P12" i="5" s="1"/>
  <c r="J11" i="3"/>
  <c r="O11" i="3" s="1"/>
  <c r="P11" i="3" s="1"/>
  <c r="M10" i="3"/>
  <c r="N10" i="3" s="1"/>
  <c r="M11" i="5"/>
  <c r="N11" i="5" s="1"/>
  <c r="M11" i="4"/>
  <c r="N11" i="4" s="1"/>
  <c r="K11" i="4"/>
  <c r="L11" i="4" s="1"/>
  <c r="F12" i="3"/>
  <c r="D13" i="3"/>
  <c r="F13" i="3" s="1"/>
  <c r="F13" i="5"/>
  <c r="G13" i="5"/>
  <c r="I12" i="5"/>
  <c r="M12" i="5" s="1"/>
  <c r="N12" i="5" s="1"/>
  <c r="C14" i="3"/>
  <c r="C14" i="5"/>
  <c r="D14" i="5" s="1"/>
  <c r="C14" i="4"/>
  <c r="D14" i="4" s="1"/>
  <c r="H11" i="3"/>
  <c r="G13" i="4"/>
  <c r="I12" i="4"/>
  <c r="I11" i="3"/>
  <c r="M11" i="3" s="1"/>
  <c r="N11" i="3" s="1"/>
  <c r="G12" i="3"/>
  <c r="F13" i="4"/>
  <c r="J12" i="3" l="1"/>
  <c r="O12" i="3" s="1"/>
  <c r="P12" i="3" s="1"/>
  <c r="J13" i="5"/>
  <c r="O13" i="5" s="1"/>
  <c r="P13" i="5" s="1"/>
  <c r="K11" i="3"/>
  <c r="L11" i="3" s="1"/>
  <c r="K12" i="4"/>
  <c r="L12" i="4" s="1"/>
  <c r="M12" i="4"/>
  <c r="N12" i="4" s="1"/>
  <c r="K12" i="5"/>
  <c r="L12" i="5" s="1"/>
  <c r="J13" i="4"/>
  <c r="H12" i="3"/>
  <c r="K12" i="3" s="1"/>
  <c r="L12" i="3" s="1"/>
  <c r="E13" i="3"/>
  <c r="H13" i="3" s="1"/>
  <c r="D14" i="3"/>
  <c r="E14" i="3" s="1"/>
  <c r="I12" i="3"/>
  <c r="G13" i="3"/>
  <c r="J13" i="3" s="1"/>
  <c r="G14" i="4"/>
  <c r="I13" i="4"/>
  <c r="G14" i="5"/>
  <c r="I13" i="5"/>
  <c r="F14" i="4"/>
  <c r="C15" i="3"/>
  <c r="C15" i="4"/>
  <c r="D15" i="4" s="1"/>
  <c r="C15" i="5"/>
  <c r="D15" i="5" s="1"/>
  <c r="F14" i="5"/>
  <c r="K13" i="5"/>
  <c r="L13" i="5" s="1"/>
  <c r="J14" i="5" l="1"/>
  <c r="K13" i="3"/>
  <c r="L13" i="3" s="1"/>
  <c r="M13" i="5"/>
  <c r="N13" i="5" s="1"/>
  <c r="O13" i="3"/>
  <c r="P13" i="3" s="1"/>
  <c r="O14" i="5"/>
  <c r="P14" i="5" s="1"/>
  <c r="M12" i="3"/>
  <c r="N12" i="3" s="1"/>
  <c r="K13" i="4"/>
  <c r="L13" i="4" s="1"/>
  <c r="M13" i="4"/>
  <c r="N13" i="4" s="1"/>
  <c r="O13" i="4"/>
  <c r="P13" i="4" s="1"/>
  <c r="J14" i="4"/>
  <c r="F14" i="3"/>
  <c r="H14" i="3" s="1"/>
  <c r="K14" i="3" s="1"/>
  <c r="L14" i="3" s="1"/>
  <c r="F15" i="5"/>
  <c r="K14" i="5"/>
  <c r="L14" i="5" s="1"/>
  <c r="G15" i="4"/>
  <c r="I14" i="4"/>
  <c r="F15" i="4"/>
  <c r="I13" i="3"/>
  <c r="M13" i="3" s="1"/>
  <c r="N13" i="3" s="1"/>
  <c r="G14" i="3"/>
  <c r="D15" i="3"/>
  <c r="F15" i="3" s="1"/>
  <c r="G15" i="5"/>
  <c r="I14" i="5"/>
  <c r="M14" i="5" s="1"/>
  <c r="N14" i="5" s="1"/>
  <c r="K15" i="4" l="1"/>
  <c r="L15" i="4" s="1"/>
  <c r="J14" i="3"/>
  <c r="O14" i="3" s="1"/>
  <c r="P14" i="3" s="1"/>
  <c r="K15" i="5"/>
  <c r="M14" i="4"/>
  <c r="N14" i="4" s="1"/>
  <c r="I15" i="4"/>
  <c r="J15" i="4"/>
  <c r="O14" i="4"/>
  <c r="P14" i="4" s="1"/>
  <c r="I15" i="5"/>
  <c r="J15" i="5"/>
  <c r="K14" i="4"/>
  <c r="L14" i="4" s="1"/>
  <c r="E15" i="3"/>
  <c r="I14" i="3"/>
  <c r="G15" i="3"/>
  <c r="J15" i="3" s="1"/>
  <c r="O15" i="3" s="1"/>
  <c r="P15" i="3" s="1"/>
  <c r="L15" i="5" l="1"/>
  <c r="L16" i="4"/>
  <c r="L17" i="4"/>
  <c r="P17" i="3"/>
  <c r="P16" i="3"/>
  <c r="P15" i="5"/>
  <c r="O15" i="5"/>
  <c r="O15" i="4"/>
  <c r="P15" i="4" s="1"/>
  <c r="M14" i="3"/>
  <c r="N14" i="3" s="1"/>
  <c r="M15" i="5"/>
  <c r="N15" i="5"/>
  <c r="M15" i="4"/>
  <c r="N15" i="4" s="1"/>
  <c r="I15" i="3"/>
  <c r="M15" i="3" s="1"/>
  <c r="N15" i="3" s="1"/>
  <c r="H15" i="3"/>
  <c r="N16" i="5" l="1"/>
  <c r="N17" i="5"/>
  <c r="P17" i="5"/>
  <c r="P16" i="5"/>
  <c r="L16" i="5"/>
  <c r="L17" i="5"/>
  <c r="L18" i="5" s="1"/>
  <c r="B18" i="5" s="1"/>
  <c r="L18" i="4"/>
  <c r="B18" i="4" s="1"/>
  <c r="P17" i="4"/>
  <c r="P16" i="4"/>
  <c r="N16" i="4"/>
  <c r="N17" i="4"/>
  <c r="N16" i="3"/>
  <c r="N17" i="3"/>
  <c r="K15" i="3"/>
  <c r="L15" i="3" s="1"/>
  <c r="N18" i="5"/>
  <c r="B19" i="5" s="1"/>
  <c r="P18" i="3"/>
  <c r="B20" i="3" s="1"/>
  <c r="P18" i="4" l="1"/>
  <c r="B20" i="4" s="1"/>
  <c r="L16" i="3"/>
  <c r="L17" i="3"/>
  <c r="N18" i="4"/>
  <c r="B19" i="4" s="1"/>
  <c r="N18" i="3"/>
  <c r="B19" i="3" s="1"/>
  <c r="L18" i="3" l="1"/>
  <c r="B18" i="3" s="1"/>
  <c r="P18" i="5"/>
  <c r="B20" i="5" s="1"/>
</calcChain>
</file>

<file path=xl/sharedStrings.xml><?xml version="1.0" encoding="utf-8"?>
<sst xmlns="http://schemas.openxmlformats.org/spreadsheetml/2006/main" count="180" uniqueCount="94">
  <si>
    <t>Table 1. Generalized Lorenz coordinates</t>
  </si>
  <si>
    <t>Table 1. Lorenz coordinates</t>
  </si>
  <si>
    <t>Line of equality</t>
  </si>
  <si>
    <t>Fractional rank</t>
  </si>
  <si>
    <t>min</t>
  </si>
  <si>
    <t>max</t>
  </si>
  <si>
    <t>S1</t>
  </si>
  <si>
    <t>S2</t>
  </si>
  <si>
    <t>S3</t>
  </si>
  <si>
    <t>S4</t>
  </si>
  <si>
    <t>S5</t>
  </si>
  <si>
    <t>N1</t>
  </si>
  <si>
    <t>N2</t>
  </si>
  <si>
    <t>N3</t>
  </si>
  <si>
    <t>N4</t>
  </si>
  <si>
    <t>N5</t>
  </si>
  <si>
    <t>Table 2. Lorenz dominance</t>
  </si>
  <si>
    <t>Table 1. Second-order generalized Lorenz coordinates</t>
  </si>
  <si>
    <t>Table 4. Intermediate results</t>
  </si>
  <si>
    <t>1: No NRT</t>
  </si>
  <si>
    <t>2: Universal NRT</t>
  </si>
  <si>
    <t>3: Proportional Universal NRT</t>
  </si>
  <si>
    <t>2 vs 1</t>
  </si>
  <si>
    <t>3 vs 1</t>
  </si>
  <si>
    <t>min + max</t>
  </si>
  <si>
    <t>3 vs 2</t>
  </si>
  <si>
    <t xml:space="preserve">2 dominates 1?  </t>
  </si>
  <si>
    <t>3 dominates 1?</t>
  </si>
  <si>
    <t>3 dominates 2?</t>
  </si>
  <si>
    <t xml:space="preserve">max </t>
  </si>
  <si>
    <t>Table 3. First Order Stochastic Dominance</t>
  </si>
  <si>
    <t>Table 2. Generalized Lorenz Dominance</t>
  </si>
  <si>
    <t>Table 2. Second Order Generalized Lorenz Dominance</t>
  </si>
  <si>
    <t>Table 2. CD</t>
  </si>
  <si>
    <t>dominance 3 vs 2</t>
  </si>
  <si>
    <t>dominance 3 vs 1</t>
  </si>
  <si>
    <t>dominance 2 vs 1</t>
  </si>
  <si>
    <t>Table 1. Concentration curve coordinates</t>
  </si>
  <si>
    <t>Table 2. GCD</t>
  </si>
  <si>
    <t>Table 1. Generalized concentration coordinates</t>
  </si>
  <si>
    <t>Health rank (by baseline HALE under No NRT)</t>
  </si>
  <si>
    <t>Table 1. HALE simulated for 10 social subgroups 
(5 SES groups for North and South)</t>
  </si>
  <si>
    <t>Subgroup population size</t>
  </si>
  <si>
    <t>Subgroup label</t>
  </si>
  <si>
    <t>Mean HALE</t>
  </si>
  <si>
    <t>Cells are colour coded as follows:</t>
  </si>
  <si>
    <t>Exercise cell</t>
  </si>
  <si>
    <t>Data</t>
  </si>
  <si>
    <t>Calculation</t>
  </si>
  <si>
    <t>Optional input</t>
  </si>
  <si>
    <t>Exercise 11: Dominance analysis</t>
  </si>
  <si>
    <t>2 vs. 1</t>
  </si>
  <si>
    <t>3 vs. 1</t>
  </si>
  <si>
    <t>3 vs. 2</t>
  </si>
  <si>
    <t>Min</t>
  </si>
  <si>
    <t>Max</t>
  </si>
  <si>
    <t>Min + Max</t>
  </si>
  <si>
    <t>1: 
No Public NRT</t>
  </si>
  <si>
    <t>1: No Public NRT</t>
  </si>
  <si>
    <t>Table 1: HALE simulated for 10 social subgroups 
(5 SES groups for North and South)</t>
  </si>
  <si>
    <t>First order stochastic dominance (FOSD)</t>
  </si>
  <si>
    <t>2: 
Universal NRT</t>
  </si>
  <si>
    <t>1 No NRT</t>
  </si>
  <si>
    <t>2 Universal NRT</t>
  </si>
  <si>
    <t>3 Proportional Universal NRT</t>
  </si>
  <si>
    <t>Population shares</t>
  </si>
  <si>
    <t>Health rank</t>
  </si>
  <si>
    <t>Lorenz dominance (LD)</t>
  </si>
  <si>
    <t>Generalized Lorenz Dominance (GLD)</t>
  </si>
  <si>
    <t>Second order generalized Lorenz dominance (SOGLD)</t>
  </si>
  <si>
    <t>Pareto dominance (PD)</t>
  </si>
  <si>
    <t>Population</t>
  </si>
  <si>
    <t>SES group</t>
  </si>
  <si>
    <t>Mean (allowing for population size)</t>
  </si>
  <si>
    <t>Table 2. SOGCD</t>
  </si>
  <si>
    <t>Concentration dominance (CD)</t>
  </si>
  <si>
    <t>Social status rank</t>
  </si>
  <si>
    <t>Generalized concentration dominance (GCD)</t>
  </si>
  <si>
    <t>Second order generalised concentration dominance (SOGCD)</t>
  </si>
  <si>
    <t>1 - most deprived</t>
  </si>
  <si>
    <t>5 - least deprived</t>
  </si>
  <si>
    <t>Dominance analysis focusing on five social status groups only</t>
  </si>
  <si>
    <t>Sum:</t>
  </si>
  <si>
    <t>Incremental net health benefit 
(population total HALYs)</t>
  </si>
  <si>
    <t>To illustrate dominance analysis using a bivariate concentration approach, we now focus on health distributions ranked by five social status groups only, setting aside North vs. South differences</t>
  </si>
  <si>
    <t>Table 2: Incremental net health benefit (population total HALYs)</t>
  </si>
  <si>
    <t>Table 3: Group-level Pareto dominance analysis</t>
  </si>
  <si>
    <t>Population share</t>
  </si>
  <si>
    <t>Cumulative population share</t>
  </si>
  <si>
    <t>Table 2. Re-ranking by health and computing 
cumulative population share</t>
  </si>
  <si>
    <t>Cumulative health share</t>
  </si>
  <si>
    <t>Lorenz curve deviation</t>
  </si>
  <si>
    <t>HALE</t>
  </si>
  <si>
    <t>Table 1. Second order Generalized concentration coordinates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</si>
</sst>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"/>
    <numFmt numFmtId="165" formatCode="#,##0_ ;\-#,##0\ "/>
    <numFmt numFmtId="166" formatCode="#,##0.000000"/>
    <numFmt numFmtId="167" formatCode="#,##0.0000000"/>
    <numFmt numFmtId="168" formatCode="0.000000"/>
    <numFmt numFmtId="169" formatCode="0.0000000"/>
    <numFmt numFmtId="170" formatCode="0.00000000"/>
  </numFmts>
  <fonts count="2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0"/>
      <name val="Arial"/>
      <family val="2"/>
    </font>
    <font>
      <sz val="10"/>
      <color theme="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1"/>
      <color rgb="FFC00000"/>
      <name val="Arial"/>
      <family val="2"/>
    </font>
    <font>
      <sz val="10"/>
      <color rgb="FFC00000"/>
      <name val="Arial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0" fontId="4" fillId="0" borderId="0"/>
    <xf numFmtId="0" fontId="6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52">
    <xf numFmtId="0" fontId="0" fillId="0" borderId="0" xfId="0"/>
    <xf numFmtId="0" fontId="1" fillId="0" borderId="0" xfId="0" applyFont="1" applyFill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top"/>
    </xf>
    <xf numFmtId="0" fontId="2" fillId="0" borderId="0" xfId="0" applyFont="1" applyAlignment="1">
      <alignment horizontal="center" vertical="top" wrapText="1"/>
    </xf>
    <xf numFmtId="164" fontId="1" fillId="0" borderId="0" xfId="0" applyNumberFormat="1" applyFont="1"/>
    <xf numFmtId="164" fontId="1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 vertical="top" wrapText="1"/>
    </xf>
    <xf numFmtId="0" fontId="1" fillId="0" borderId="0" xfId="0" applyNumberFormat="1" applyFont="1"/>
    <xf numFmtId="0" fontId="1" fillId="0" borderId="0" xfId="0" applyNumberFormat="1" applyFont="1" applyFill="1" applyAlignment="1">
      <alignment horizontal="center"/>
    </xf>
    <xf numFmtId="0" fontId="3" fillId="0" borderId="0" xfId="6" applyFont="1" applyFill="1" applyBorder="1" applyAlignment="1">
      <alignment horizontal="center" vertical="center" wrapText="1"/>
    </xf>
    <xf numFmtId="0" fontId="3" fillId="0" borderId="0" xfId="6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7" fillId="2" borderId="0" xfId="6" applyNumberFormat="1" applyFont="1" applyFill="1" applyBorder="1" applyAlignment="1">
      <alignment horizontal="center" vertical="center"/>
    </xf>
    <xf numFmtId="0" fontId="9" fillId="3" borderId="0" xfId="6" applyFont="1" applyFill="1" applyBorder="1" applyAlignment="1">
      <alignment horizontal="center" vertical="center" wrapText="1"/>
    </xf>
    <xf numFmtId="0" fontId="11" fillId="0" borderId="0" xfId="0" applyFont="1"/>
    <xf numFmtId="0" fontId="6" fillId="0" borderId="0" xfId="0" applyFont="1" applyAlignment="1">
      <alignment horizontal="center" vertical="top" wrapText="1"/>
    </xf>
    <xf numFmtId="0" fontId="9" fillId="3" borderId="0" xfId="0" applyFont="1" applyFill="1" applyAlignment="1">
      <alignment horizontal="center" vertical="top" wrapText="1"/>
    </xf>
    <xf numFmtId="0" fontId="6" fillId="2" borderId="0" xfId="0" applyFont="1" applyFill="1" applyAlignment="1">
      <alignment horizontal="center" vertical="center"/>
    </xf>
    <xf numFmtId="0" fontId="6" fillId="2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left"/>
    </xf>
    <xf numFmtId="0" fontId="9" fillId="3" borderId="0" xfId="0" applyFont="1" applyFill="1" applyAlignment="1">
      <alignment horizontal="left" vertical="top"/>
    </xf>
    <xf numFmtId="0" fontId="9" fillId="3" borderId="0" xfId="0" applyFont="1" applyFill="1" applyAlignment="1">
      <alignment horizontal="left"/>
    </xf>
    <xf numFmtId="0" fontId="6" fillId="2" borderId="0" xfId="0" applyNumberFormat="1" applyFont="1" applyFill="1" applyAlignment="1">
      <alignment horizontal="center" vertical="top" wrapText="1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top" wrapText="1"/>
    </xf>
    <xf numFmtId="0" fontId="11" fillId="0" borderId="0" xfId="0" applyFont="1" applyAlignment="1">
      <alignment horizontal="left"/>
    </xf>
    <xf numFmtId="164" fontId="12" fillId="0" borderId="0" xfId="0" applyNumberFormat="1" applyFont="1" applyFill="1" applyAlignment="1">
      <alignment horizontal="center"/>
    </xf>
    <xf numFmtId="0" fontId="12" fillId="0" borderId="0" xfId="0" applyFont="1"/>
    <xf numFmtId="164" fontId="12" fillId="0" borderId="0" xfId="0" applyNumberFormat="1" applyFont="1"/>
    <xf numFmtId="0" fontId="12" fillId="0" borderId="0" xfId="0" applyFont="1" applyFill="1"/>
    <xf numFmtId="164" fontId="6" fillId="0" borderId="0" xfId="0" applyNumberFormat="1" applyFont="1" applyFill="1" applyAlignment="1">
      <alignment horizontal="center"/>
    </xf>
    <xf numFmtId="0" fontId="6" fillId="0" borderId="0" xfId="0" applyFont="1"/>
    <xf numFmtId="0" fontId="6" fillId="0" borderId="0" xfId="0" applyNumberFormat="1" applyFont="1" applyFill="1" applyAlignment="1">
      <alignment horizontal="center"/>
    </xf>
    <xf numFmtId="0" fontId="6" fillId="0" borderId="0" xfId="0" applyNumberFormat="1" applyFont="1" applyFill="1"/>
    <xf numFmtId="0" fontId="6" fillId="0" borderId="0" xfId="0" applyNumberFormat="1" applyFont="1"/>
    <xf numFmtId="0" fontId="9" fillId="3" borderId="0" xfId="0" applyNumberFormat="1" applyFont="1" applyFill="1" applyAlignment="1" applyProtection="1">
      <alignment horizontal="center" vertical="top" wrapText="1"/>
      <protection locked="0"/>
    </xf>
    <xf numFmtId="164" fontId="6" fillId="2" borderId="0" xfId="0" applyNumberFormat="1" applyFont="1" applyFill="1" applyAlignment="1">
      <alignment horizontal="center"/>
    </xf>
    <xf numFmtId="0" fontId="6" fillId="2" borderId="0" xfId="0" applyFont="1" applyFill="1"/>
    <xf numFmtId="164" fontId="6" fillId="2" borderId="0" xfId="0" applyNumberFormat="1" applyFont="1" applyFill="1"/>
    <xf numFmtId="0" fontId="6" fillId="2" borderId="0" xfId="0" applyNumberFormat="1" applyFont="1" applyFill="1" applyAlignment="1">
      <alignment horizontal="center"/>
    </xf>
    <xf numFmtId="0" fontId="6" fillId="2" borderId="0" xfId="0" applyNumberFormat="1" applyFont="1" applyFill="1"/>
    <xf numFmtId="0" fontId="6" fillId="0" borderId="0" xfId="0" applyFont="1" applyFill="1" applyAlignment="1">
      <alignment horizontal="center"/>
    </xf>
    <xf numFmtId="0" fontId="9" fillId="3" borderId="0" xfId="0" applyFont="1" applyFill="1" applyAlignment="1">
      <alignment vertical="top" wrapText="1"/>
    </xf>
    <xf numFmtId="0" fontId="9" fillId="3" borderId="0" xfId="0" applyFont="1" applyFill="1"/>
    <xf numFmtId="0" fontId="9" fillId="3" borderId="0" xfId="0" applyFont="1" applyFill="1" applyAlignment="1">
      <alignment horizontal="left" vertical="top" wrapText="1"/>
    </xf>
    <xf numFmtId="0" fontId="1" fillId="2" borderId="0" xfId="0" applyFont="1" applyFill="1"/>
    <xf numFmtId="0" fontId="6" fillId="0" borderId="0" xfId="0" applyFont="1" applyFill="1"/>
    <xf numFmtId="0" fontId="11" fillId="0" borderId="0" xfId="0" applyFont="1" applyFill="1"/>
    <xf numFmtId="0" fontId="13" fillId="0" borderId="0" xfId="0" applyFont="1" applyFill="1" applyAlignment="1">
      <alignment horizontal="center"/>
    </xf>
    <xf numFmtId="0" fontId="8" fillId="0" borderId="0" xfId="0" applyFont="1" applyFill="1"/>
    <xf numFmtId="0" fontId="10" fillId="0" borderId="0" xfId="0" applyFont="1" applyFill="1"/>
    <xf numFmtId="0" fontId="4" fillId="0" borderId="0" xfId="0" applyFont="1" applyFill="1"/>
    <xf numFmtId="0" fontId="9" fillId="3" borderId="0" xfId="0" applyNumberFormat="1" applyFont="1" applyFill="1" applyAlignment="1">
      <alignment horizontal="left" vertical="top" wrapText="1"/>
    </xf>
    <xf numFmtId="0" fontId="9" fillId="3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10" fillId="0" borderId="0" xfId="0" applyFont="1"/>
    <xf numFmtId="0" fontId="4" fillId="0" borderId="0" xfId="0" applyFont="1"/>
    <xf numFmtId="0" fontId="7" fillId="0" borderId="0" xfId="0" applyFont="1"/>
    <xf numFmtId="0" fontId="7" fillId="2" borderId="0" xfId="0" applyFont="1" applyFill="1"/>
    <xf numFmtId="0" fontId="7" fillId="0" borderId="0" xfId="0" applyFont="1" applyAlignment="1">
      <alignment horizontal="left"/>
    </xf>
    <xf numFmtId="0" fontId="7" fillId="2" borderId="0" xfId="0" applyNumberFormat="1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center" vertical="top" wrapText="1"/>
      <protection locked="0"/>
    </xf>
    <xf numFmtId="0" fontId="6" fillId="2" borderId="0" xfId="0" applyFont="1" applyFill="1" applyAlignment="1">
      <alignment horizontal="right"/>
    </xf>
    <xf numFmtId="0" fontId="13" fillId="2" borderId="0" xfId="0" applyFont="1" applyFill="1"/>
    <xf numFmtId="0" fontId="9" fillId="0" borderId="0" xfId="0" applyFont="1" applyFill="1"/>
    <xf numFmtId="0" fontId="0" fillId="0" borderId="0" xfId="0" applyFill="1"/>
    <xf numFmtId="0" fontId="7" fillId="0" borderId="0" xfId="0" applyFont="1" applyFill="1"/>
    <xf numFmtId="0" fontId="15" fillId="0" borderId="0" xfId="0" applyFont="1"/>
    <xf numFmtId="0" fontId="6" fillId="2" borderId="0" xfId="0" applyNumberFormat="1" applyFont="1" applyFill="1" applyAlignment="1">
      <alignment horizontal="center" wrapText="1"/>
    </xf>
    <xf numFmtId="0" fontId="7" fillId="0" borderId="0" xfId="0" applyNumberFormat="1" applyFont="1"/>
    <xf numFmtId="0" fontId="7" fillId="2" borderId="0" xfId="0" applyNumberFormat="1" applyFont="1" applyFill="1" applyAlignment="1">
      <alignment horizontal="center" vertical="top" wrapText="1"/>
    </xf>
    <xf numFmtId="0" fontId="7" fillId="2" borderId="0" xfId="0" applyNumberFormat="1" applyFont="1" applyFill="1"/>
    <xf numFmtId="0" fontId="9" fillId="3" borderId="0" xfId="0" applyNumberFormat="1" applyFont="1" applyFill="1" applyAlignment="1">
      <alignment horizontal="left" vertical="top"/>
    </xf>
    <xf numFmtId="0" fontId="9" fillId="3" borderId="0" xfId="0" applyNumberFormat="1" applyFont="1" applyFill="1" applyBorder="1" applyAlignment="1" applyProtection="1">
      <alignment vertical="top" wrapText="1"/>
      <protection locked="0"/>
    </xf>
    <xf numFmtId="0" fontId="9" fillId="3" borderId="0" xfId="0" applyNumberFormat="1" applyFont="1" applyFill="1" applyBorder="1" applyAlignment="1" applyProtection="1">
      <alignment vertical="center" wrapText="1"/>
      <protection locked="0"/>
    </xf>
    <xf numFmtId="0" fontId="9" fillId="3" borderId="0" xfId="0" applyNumberFormat="1" applyFont="1" applyFill="1" applyAlignment="1" applyProtection="1">
      <alignment horizontal="left" wrapText="1"/>
      <protection locked="0"/>
    </xf>
    <xf numFmtId="0" fontId="9" fillId="3" borderId="0" xfId="0" applyNumberFormat="1" applyFont="1" applyFill="1" applyBorder="1" applyAlignment="1" applyProtection="1">
      <alignment horizontal="left" vertical="top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0" xfId="0" applyFont="1" applyFill="1" applyAlignment="1">
      <alignment vertical="top"/>
    </xf>
    <xf numFmtId="0" fontId="7" fillId="0" borderId="0" xfId="0" applyFont="1" applyAlignment="1">
      <alignment horizontal="center"/>
    </xf>
    <xf numFmtId="0" fontId="7" fillId="2" borderId="0" xfId="0" applyFont="1" applyFill="1" applyAlignment="1">
      <alignment horizontal="center" vertical="top" wrapText="1"/>
    </xf>
    <xf numFmtId="0" fontId="14" fillId="0" borderId="0" xfId="0" applyFont="1"/>
    <xf numFmtId="0" fontId="2" fillId="0" borderId="0" xfId="0" applyFont="1" applyAlignment="1">
      <alignment vertical="top"/>
    </xf>
    <xf numFmtId="0" fontId="6" fillId="0" borderId="0" xfId="0" applyFont="1" applyAlignment="1">
      <alignment horizontal="center"/>
    </xf>
    <xf numFmtId="0" fontId="6" fillId="2" borderId="0" xfId="0" applyNumberFormat="1" applyFont="1" applyFill="1" applyAlignment="1">
      <alignment horizontal="center" vertical="top"/>
    </xf>
    <xf numFmtId="0" fontId="9" fillId="3" borderId="0" xfId="0" applyNumberFormat="1" applyFont="1" applyFill="1" applyAlignment="1" applyProtection="1">
      <alignment horizontal="center" wrapText="1"/>
      <protection locked="0"/>
    </xf>
    <xf numFmtId="0" fontId="16" fillId="0" borderId="0" xfId="0" applyFont="1" applyAlignment="1"/>
    <xf numFmtId="0" fontId="0" fillId="5" borderId="1" xfId="0" applyFill="1" applyBorder="1"/>
    <xf numFmtId="0" fontId="10" fillId="5" borderId="2" xfId="0" applyFont="1" applyFill="1" applyBorder="1" applyAlignment="1">
      <alignment horizontal="center"/>
    </xf>
    <xf numFmtId="0" fontId="0" fillId="5" borderId="3" xfId="0" applyFill="1" applyBorder="1"/>
    <xf numFmtId="0" fontId="0" fillId="5" borderId="4" xfId="0" applyFill="1" applyBorder="1"/>
    <xf numFmtId="0" fontId="0" fillId="5" borderId="5" xfId="0" applyFill="1" applyBorder="1"/>
    <xf numFmtId="0" fontId="10" fillId="6" borderId="6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7" borderId="6" xfId="0" applyFont="1" applyFill="1" applyBorder="1" applyAlignment="1">
      <alignment horizontal="center"/>
    </xf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17" fillId="0" borderId="6" xfId="0" applyFont="1" applyFill="1" applyBorder="1" applyAlignment="1">
      <alignment horizontal="center"/>
    </xf>
    <xf numFmtId="3" fontId="18" fillId="5" borderId="0" xfId="6" applyNumberFormat="1" applyFont="1" applyFill="1" applyBorder="1" applyAlignment="1">
      <alignment horizontal="center"/>
    </xf>
    <xf numFmtId="166" fontId="18" fillId="5" borderId="0" xfId="6" applyNumberFormat="1" applyFont="1" applyFill="1" applyBorder="1" applyAlignment="1">
      <alignment horizontal="center"/>
    </xf>
    <xf numFmtId="0" fontId="6" fillId="6" borderId="0" xfId="0" applyNumberFormat="1" applyFont="1" applyFill="1" applyAlignment="1">
      <alignment horizontal="center" vertical="center"/>
    </xf>
    <xf numFmtId="167" fontId="18" fillId="5" borderId="0" xfId="6" applyNumberFormat="1" applyFont="1" applyFill="1" applyBorder="1" applyAlignment="1">
      <alignment horizontal="center"/>
    </xf>
    <xf numFmtId="0" fontId="19" fillId="0" borderId="0" xfId="0" applyFont="1"/>
    <xf numFmtId="165" fontId="7" fillId="2" borderId="0" xfId="8" applyNumberFormat="1" applyFont="1" applyFill="1" applyAlignment="1">
      <alignment horizontal="right"/>
    </xf>
    <xf numFmtId="49" fontId="9" fillId="3" borderId="0" xfId="0" applyNumberFormat="1" applyFont="1" applyFill="1" applyAlignment="1">
      <alignment horizontal="center" vertical="top" wrapText="1"/>
    </xf>
    <xf numFmtId="0" fontId="4" fillId="0" borderId="0" xfId="0" applyFont="1" applyAlignment="1"/>
    <xf numFmtId="0" fontId="0" fillId="0" borderId="0" xfId="0" applyAlignment="1">
      <alignment horizontal="right"/>
    </xf>
    <xf numFmtId="165" fontId="7" fillId="6" borderId="0" xfId="8" applyNumberFormat="1" applyFont="1" applyFill="1" applyAlignment="1">
      <alignment horizontal="right"/>
    </xf>
    <xf numFmtId="0" fontId="2" fillId="0" borderId="0" xfId="0" applyFont="1"/>
    <xf numFmtId="0" fontId="20" fillId="0" borderId="0" xfId="0" applyFont="1"/>
    <xf numFmtId="0" fontId="20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9" fillId="3" borderId="0" xfId="0" applyFont="1" applyFill="1" applyAlignment="1">
      <alignment horizontal="center" vertical="center" wrapText="1"/>
    </xf>
    <xf numFmtId="0" fontId="6" fillId="6" borderId="0" xfId="0" applyNumberFormat="1" applyFont="1" applyFill="1" applyAlignment="1">
      <alignment horizontal="center"/>
    </xf>
    <xf numFmtId="0" fontId="2" fillId="0" borderId="0" xfId="0" applyFont="1" applyFill="1"/>
    <xf numFmtId="0" fontId="20" fillId="0" borderId="0" xfId="0" applyFont="1" applyFill="1"/>
    <xf numFmtId="0" fontId="14" fillId="0" borderId="0" xfId="0" applyFont="1" applyFill="1"/>
    <xf numFmtId="0" fontId="9" fillId="3" borderId="0" xfId="0" applyNumberFormat="1" applyFont="1" applyFill="1" applyAlignment="1">
      <alignment horizontal="left" wrapText="1"/>
    </xf>
    <xf numFmtId="165" fontId="7" fillId="2" borderId="0" xfId="8" applyNumberFormat="1" applyFont="1" applyFill="1" applyAlignment="1">
      <alignment horizontal="right" vertical="center"/>
    </xf>
    <xf numFmtId="0" fontId="9" fillId="3" borderId="0" xfId="0" applyNumberFormat="1" applyFont="1" applyFill="1" applyAlignment="1">
      <alignment horizontal="left" vertical="center" wrapText="1"/>
    </xf>
    <xf numFmtId="0" fontId="9" fillId="3" borderId="0" xfId="0" applyFont="1" applyFill="1" applyAlignment="1">
      <alignment horizontal="center" vertical="center" wrapText="1"/>
    </xf>
    <xf numFmtId="0" fontId="6" fillId="6" borderId="0" xfId="0" applyFont="1" applyFill="1" applyAlignment="1">
      <alignment horizontal="center"/>
    </xf>
    <xf numFmtId="168" fontId="6" fillId="2" borderId="0" xfId="0" applyNumberFormat="1" applyFont="1" applyFill="1" applyAlignment="1">
      <alignment horizontal="left"/>
    </xf>
    <xf numFmtId="168" fontId="6" fillId="2" borderId="0" xfId="0" applyNumberFormat="1" applyFont="1" applyFill="1" applyAlignment="1">
      <alignment horizontal="center"/>
    </xf>
    <xf numFmtId="169" fontId="6" fillId="6" borderId="0" xfId="0" applyNumberFormat="1" applyFont="1" applyFill="1" applyAlignment="1">
      <alignment horizontal="center"/>
    </xf>
    <xf numFmtId="169" fontId="6" fillId="2" borderId="0" xfId="0" applyNumberFormat="1" applyFont="1" applyFill="1" applyAlignment="1">
      <alignment horizontal="center"/>
    </xf>
    <xf numFmtId="169" fontId="6" fillId="2" borderId="0" xfId="0" applyNumberFormat="1" applyFont="1" applyFill="1"/>
    <xf numFmtId="170" fontId="6" fillId="6" borderId="0" xfId="0" applyNumberFormat="1" applyFont="1" applyFill="1" applyAlignment="1">
      <alignment horizontal="center"/>
    </xf>
    <xf numFmtId="170" fontId="6" fillId="2" borderId="0" xfId="0" applyNumberFormat="1" applyFont="1" applyFill="1" applyAlignment="1">
      <alignment horizontal="center"/>
    </xf>
    <xf numFmtId="170" fontId="6" fillId="2" borderId="0" xfId="0" applyNumberFormat="1" applyFont="1" applyFill="1"/>
    <xf numFmtId="0" fontId="11" fillId="0" borderId="0" xfId="0" applyFont="1" applyFill="1" applyAlignment="1">
      <alignment vertical="center"/>
    </xf>
    <xf numFmtId="169" fontId="6" fillId="2" borderId="0" xfId="0" applyNumberFormat="1" applyFont="1" applyFill="1" applyAlignment="1">
      <alignment horizontal="center" vertical="top" wrapText="1"/>
    </xf>
    <xf numFmtId="168" fontId="7" fillId="2" borderId="0" xfId="0" applyNumberFormat="1" applyFont="1" applyFill="1"/>
    <xf numFmtId="170" fontId="7" fillId="2" borderId="0" xfId="0" applyNumberFormat="1" applyFont="1" applyFill="1"/>
    <xf numFmtId="0" fontId="9" fillId="3" borderId="0" xfId="0" applyFont="1" applyFill="1" applyAlignment="1">
      <alignment horizontal="center"/>
    </xf>
    <xf numFmtId="166" fontId="7" fillId="2" borderId="0" xfId="0" applyNumberFormat="1" applyFont="1" applyFill="1" applyAlignment="1">
      <alignment horizontal="center" vertical="center" wrapText="1"/>
    </xf>
    <xf numFmtId="166" fontId="7" fillId="2" borderId="0" xfId="6" applyNumberFormat="1" applyFont="1" applyFill="1" applyBorder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9" fillId="3" borderId="0" xfId="0" applyNumberFormat="1" applyFont="1" applyFill="1" applyAlignment="1" applyProtection="1">
      <alignment horizontal="center" wrapText="1"/>
      <protection locked="0"/>
    </xf>
    <xf numFmtId="0" fontId="10" fillId="0" borderId="0" xfId="0" applyFont="1" applyAlignment="1">
      <alignment horizontal="center" wrapText="1"/>
    </xf>
    <xf numFmtId="0" fontId="9" fillId="3" borderId="0" xfId="0" applyNumberFormat="1" applyFont="1" applyFill="1" applyBorder="1" applyAlignment="1" applyProtection="1">
      <alignment horizontal="center" wrapText="1"/>
      <protection locked="0"/>
    </xf>
    <xf numFmtId="0" fontId="11" fillId="0" borderId="0" xfId="0" applyFont="1" applyAlignment="1">
      <alignment horizontal="center" vertical="center" wrapText="1"/>
    </xf>
    <xf numFmtId="0" fontId="9" fillId="3" borderId="0" xfId="0" applyNumberFormat="1" applyFont="1" applyFill="1" applyAlignment="1" applyProtection="1">
      <alignment horizontal="center" vertical="center" wrapText="1"/>
      <protection locked="0"/>
    </xf>
    <xf numFmtId="0" fontId="9" fillId="3" borderId="0" xfId="0" applyFont="1" applyFill="1" applyAlignment="1">
      <alignment horizontal="center" vertical="center" wrapText="1"/>
    </xf>
    <xf numFmtId="0" fontId="21" fillId="0" borderId="0" xfId="0" applyFont="1" applyAlignment="1">
      <alignment horizontal="left" wrapText="1"/>
    </xf>
  </cellXfs>
  <cellStyles count="9">
    <cellStyle name="Comma" xfId="8" builtinId="3"/>
    <cellStyle name="Normal" xfId="0" builtinId="0"/>
    <cellStyle name="Normal 2" xfId="2" xr:uid="{00000000-0005-0000-0000-000002000000}"/>
    <cellStyle name="Normal 3" xfId="4" xr:uid="{00000000-0005-0000-0000-000003000000}"/>
    <cellStyle name="Normal 4" xfId="6" xr:uid="{00000000-0005-0000-0000-000004000000}"/>
    <cellStyle name="Normal 5" xfId="1" xr:uid="{00000000-0005-0000-0000-000005000000}"/>
    <cellStyle name="Percent 2" xfId="5" xr:uid="{00000000-0005-0000-0000-000006000000}"/>
    <cellStyle name="Percent 3" xfId="7" xr:uid="{00000000-0005-0000-0000-000007000000}"/>
    <cellStyle name="Percent 4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Figure 1:</a:t>
            </a:r>
            <a:r>
              <a:rPr lang="en-GB" b="1" baseline="0"/>
              <a:t> </a:t>
            </a:r>
            <a:r>
              <a:rPr lang="en-GB" b="1"/>
              <a:t>HALE</a:t>
            </a:r>
            <a:r>
              <a:rPr lang="en-GB" b="1" baseline="0"/>
              <a:t> distributions</a:t>
            </a:r>
          </a:p>
          <a:p>
            <a:pPr>
              <a:defRPr b="1"/>
            </a:pPr>
            <a:r>
              <a:rPr lang="en-GB" b="1" baseline="0"/>
              <a:t>(Cannot see the difference at this scale)</a:t>
            </a:r>
            <a:endParaRPr lang="en-GB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PD!$D$4</c:f>
              <c:strCache>
                <c:ptCount val="1"/>
                <c:pt idx="0">
                  <c:v>1: No Public NRT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PD!$B$5:$B$14</c:f>
              <c:strCache>
                <c:ptCount val="10"/>
                <c:pt idx="0">
                  <c:v>S1</c:v>
                </c:pt>
                <c:pt idx="1">
                  <c:v>S2</c:v>
                </c:pt>
                <c:pt idx="2">
                  <c:v>S3</c:v>
                </c:pt>
                <c:pt idx="3">
                  <c:v>S4</c:v>
                </c:pt>
                <c:pt idx="4">
                  <c:v>S5</c:v>
                </c:pt>
                <c:pt idx="5">
                  <c:v>N1</c:v>
                </c:pt>
                <c:pt idx="6">
                  <c:v>N2</c:v>
                </c:pt>
                <c:pt idx="7">
                  <c:v>N3</c:v>
                </c:pt>
                <c:pt idx="8">
                  <c:v>N4</c:v>
                </c:pt>
                <c:pt idx="9">
                  <c:v>N5</c:v>
                </c:pt>
              </c:strCache>
            </c:strRef>
          </c:cat>
          <c:val>
            <c:numRef>
              <c:f>PD!$D$5:$D$14</c:f>
              <c:numCache>
                <c:formatCode>#,##0.0000000</c:formatCode>
                <c:ptCount val="10"/>
                <c:pt idx="0">
                  <c:v>65.953454828519668</c:v>
                </c:pt>
                <c:pt idx="1">
                  <c:v>70.344928147144799</c:v>
                </c:pt>
                <c:pt idx="2">
                  <c:v>72.213544204351976</c:v>
                </c:pt>
                <c:pt idx="3">
                  <c:v>75.597859352178702</c:v>
                </c:pt>
                <c:pt idx="4">
                  <c:v>77.323143845980766</c:v>
                </c:pt>
                <c:pt idx="5">
                  <c:v>61.925213745047813</c:v>
                </c:pt>
                <c:pt idx="6">
                  <c:v>66.81695247332172</c:v>
                </c:pt>
                <c:pt idx="7">
                  <c:v>68.975036101886801</c:v>
                </c:pt>
                <c:pt idx="8">
                  <c:v>72.648214965877315</c:v>
                </c:pt>
                <c:pt idx="9">
                  <c:v>74.561155997724143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7B-4BFC-9ED9-2601D3972E13}"/>
            </c:ext>
          </c:extLst>
        </c:ser>
        <c:ser>
          <c:idx val="0"/>
          <c:order val="1"/>
          <c:tx>
            <c:strRef>
              <c:f>PD!$E$4</c:f>
              <c:strCache>
                <c:ptCount val="1"/>
                <c:pt idx="0">
                  <c:v>2: Universal NRT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PD!$B$5:$B$14</c:f>
              <c:strCache>
                <c:ptCount val="10"/>
                <c:pt idx="0">
                  <c:v>S1</c:v>
                </c:pt>
                <c:pt idx="1">
                  <c:v>S2</c:v>
                </c:pt>
                <c:pt idx="2">
                  <c:v>S3</c:v>
                </c:pt>
                <c:pt idx="3">
                  <c:v>S4</c:v>
                </c:pt>
                <c:pt idx="4">
                  <c:v>S5</c:v>
                </c:pt>
                <c:pt idx="5">
                  <c:v>N1</c:v>
                </c:pt>
                <c:pt idx="6">
                  <c:v>N2</c:v>
                </c:pt>
                <c:pt idx="7">
                  <c:v>N3</c:v>
                </c:pt>
                <c:pt idx="8">
                  <c:v>N4</c:v>
                </c:pt>
                <c:pt idx="9">
                  <c:v>N5</c:v>
                </c:pt>
              </c:strCache>
            </c:strRef>
          </c:cat>
          <c:val>
            <c:numRef>
              <c:f>PD!$E$5:$E$14</c:f>
              <c:numCache>
                <c:formatCode>#,##0.0000000</c:formatCode>
                <c:ptCount val="10"/>
                <c:pt idx="0">
                  <c:v>65.95356057161824</c:v>
                </c:pt>
                <c:pt idx="1">
                  <c:v>70.345009341331306</c:v>
                </c:pt>
                <c:pt idx="2">
                  <c:v>72.213646949791766</c:v>
                </c:pt>
                <c:pt idx="3">
                  <c:v>75.597916460553989</c:v>
                </c:pt>
                <c:pt idx="4">
                  <c:v>77.323203978587571</c:v>
                </c:pt>
                <c:pt idx="5">
                  <c:v>61.92536672465171</c:v>
                </c:pt>
                <c:pt idx="6">
                  <c:v>66.817065204895215</c:v>
                </c:pt>
                <c:pt idx="7">
                  <c:v>68.975147647239979</c:v>
                </c:pt>
                <c:pt idx="8">
                  <c:v>72.64828737006286</c:v>
                </c:pt>
                <c:pt idx="9">
                  <c:v>74.561219777707066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7B-4BFC-9ED9-2601D3972E13}"/>
            </c:ext>
          </c:extLst>
        </c:ser>
        <c:ser>
          <c:idx val="2"/>
          <c:order val="2"/>
          <c:tx>
            <c:strRef>
              <c:f>PD!$F$4</c:f>
              <c:strCache>
                <c:ptCount val="1"/>
                <c:pt idx="0">
                  <c:v>3: Proportional Universal NRT</c:v>
                </c:pt>
              </c:strCache>
            </c:strRef>
          </c:tx>
          <c:spPr>
            <a:solidFill>
              <a:schemeClr val="accent3"/>
            </a:solidFill>
            <a:ln w="19050">
              <a:noFill/>
            </a:ln>
            <a:effectLst/>
          </c:spPr>
          <c:invertIfNegative val="0"/>
          <c:cat>
            <c:strRef>
              <c:f>PD!$B$5:$B$14</c:f>
              <c:strCache>
                <c:ptCount val="10"/>
                <c:pt idx="0">
                  <c:v>S1</c:v>
                </c:pt>
                <c:pt idx="1">
                  <c:v>S2</c:v>
                </c:pt>
                <c:pt idx="2">
                  <c:v>S3</c:v>
                </c:pt>
                <c:pt idx="3">
                  <c:v>S4</c:v>
                </c:pt>
                <c:pt idx="4">
                  <c:v>S5</c:v>
                </c:pt>
                <c:pt idx="5">
                  <c:v>N1</c:v>
                </c:pt>
                <c:pt idx="6">
                  <c:v>N2</c:v>
                </c:pt>
                <c:pt idx="7">
                  <c:v>N3</c:v>
                </c:pt>
                <c:pt idx="8">
                  <c:v>N4</c:v>
                </c:pt>
                <c:pt idx="9">
                  <c:v>N5</c:v>
                </c:pt>
              </c:strCache>
            </c:strRef>
          </c:cat>
          <c:val>
            <c:numRef>
              <c:f>PD!$F$5:$F$14</c:f>
              <c:numCache>
                <c:formatCode>#,##0.0000000</c:formatCode>
                <c:ptCount val="10"/>
                <c:pt idx="0">
                  <c:v>65.953577414517284</c:v>
                </c:pt>
                <c:pt idx="1">
                  <c:v>70.345002492322649</c:v>
                </c:pt>
                <c:pt idx="2">
                  <c:v>72.213622276246156</c:v>
                </c:pt>
                <c:pt idx="3">
                  <c:v>75.597895401169012</c:v>
                </c:pt>
                <c:pt idx="4">
                  <c:v>77.323185361418368</c:v>
                </c:pt>
                <c:pt idx="5">
                  <c:v>61.925418362692902</c:v>
                </c:pt>
                <c:pt idx="6">
                  <c:v>66.817076458360418</c:v>
                </c:pt>
                <c:pt idx="7">
                  <c:v>68.975134661805484</c:v>
                </c:pt>
                <c:pt idx="8">
                  <c:v>72.648266310695817</c:v>
                </c:pt>
                <c:pt idx="9">
                  <c:v>74.561201160567506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7B-4BFC-9ED9-2601D3972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6804976"/>
        <c:axId val="416805368"/>
      </c:barChart>
      <c:catAx>
        <c:axId val="4168049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100" b="1"/>
                  <a:t>10 Social</a:t>
                </a:r>
                <a:r>
                  <a:rPr lang="en-GB" sz="1100" b="1" baseline="0"/>
                  <a:t> Subgroups</a:t>
                </a:r>
                <a:endParaRPr lang="en-GB" sz="11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6805368"/>
        <c:crosses val="autoZero"/>
        <c:auto val="1"/>
        <c:lblAlgn val="ctr"/>
        <c:lblOffset val="100"/>
        <c:noMultiLvlLbl val="0"/>
      </c:catAx>
      <c:valAx>
        <c:axId val="416805368"/>
        <c:scaling>
          <c:orientation val="minMax"/>
          <c:max val="8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/>
                  <a:t>HALE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6804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Figure 2: Generalized</a:t>
            </a:r>
            <a:r>
              <a:rPr lang="en-GB" b="1" baseline="0"/>
              <a:t> Lorenz curve d</a:t>
            </a:r>
            <a:r>
              <a:rPr lang="en-GB" b="1"/>
              <a:t>eviation from 1:</a:t>
            </a:r>
            <a:r>
              <a:rPr lang="en-GB" b="1" baseline="0"/>
              <a:t> No NRT</a:t>
            </a:r>
            <a:endParaRPr lang="en-GB" b="1"/>
          </a:p>
        </c:rich>
      </c:tx>
      <c:layout>
        <c:manualLayout>
          <c:xMode val="edge"/>
          <c:yMode val="edge"/>
          <c:x val="0.13361792780386755"/>
          <c:y val="1.8495055849243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GLD!$F$4</c:f>
              <c:strCache>
                <c:ptCount val="1"/>
                <c:pt idx="0">
                  <c:v>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10"/>
            <c:spPr>
              <a:noFill/>
              <a:ln w="12700">
                <a:solidFill>
                  <a:schemeClr val="accent2"/>
                </a:solidFill>
              </a:ln>
              <a:effectLst/>
            </c:spPr>
          </c:marker>
          <c:xVal>
            <c:numRef>
              <c:f>GLD!$C$5:$C$15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xVal>
          <c:yVal>
            <c:numRef>
              <c:f>GLD!$H$5:$H$15</c:f>
              <c:numCache>
                <c:formatCode>0.0000000</c:formatCode>
                <c:ptCount val="11"/>
                <c:pt idx="0" formatCode="General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546-4707-A0D8-14AA991BD74C}"/>
            </c:ext>
          </c:extLst>
        </c:ser>
        <c:ser>
          <c:idx val="2"/>
          <c:order val="1"/>
          <c:tx>
            <c:strRef>
              <c:f>GLD!$G$4</c:f>
              <c:strCache>
                <c:ptCount val="1"/>
                <c:pt idx="0">
                  <c:v>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plus"/>
            <c:size val="10"/>
            <c:spPr>
              <a:noFill/>
              <a:ln w="12700">
                <a:solidFill>
                  <a:schemeClr val="accent3"/>
                </a:solidFill>
              </a:ln>
              <a:effectLst/>
            </c:spPr>
          </c:marker>
          <c:xVal>
            <c:numRef>
              <c:f>GLD!$C$5:$C$15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xVal>
          <c:yVal>
            <c:numRef>
              <c:f>GLD!$I$5:$I$15</c:f>
              <c:numCache>
                <c:formatCode>0.0000000</c:formatCode>
                <c:ptCount val="11"/>
                <c:pt idx="0" formatCode="General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546-4707-A0D8-14AA991BD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4750752"/>
        <c:axId val="454745656"/>
      </c:scatterChart>
      <c:valAx>
        <c:axId val="454750752"/>
        <c:scaling>
          <c:orientation val="minMax"/>
          <c:max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="1"/>
                  <a:t>Cumulative</a:t>
                </a:r>
                <a:r>
                  <a:rPr lang="en-GB" sz="1200" b="1" baseline="0"/>
                  <a:t> population share</a:t>
                </a:r>
                <a:endParaRPr lang="en-GB" sz="12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1" i="0" u="none" strike="noStrike" kern="120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4745656"/>
        <c:crosses val="autoZero"/>
        <c:crossBetween val="midCat"/>
      </c:valAx>
      <c:valAx>
        <c:axId val="454745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0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47507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Figure 1: Second order Generalized Lorenz curve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SOGLD!$E$4</c:f>
              <c:strCache>
                <c:ptCount val="1"/>
                <c:pt idx="0">
                  <c:v>1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10"/>
            <c:spPr>
              <a:noFill/>
              <a:ln w="12700">
                <a:solidFill>
                  <a:schemeClr val="accent1"/>
                </a:solidFill>
              </a:ln>
              <a:effectLst/>
            </c:spPr>
          </c:marker>
          <c:xVal>
            <c:numRef>
              <c:f>SOGLD!$C$5:$C$15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xVal>
          <c:yVal>
            <c:numRef>
              <c:f>SOGLD!$E$5:$E$15</c:f>
              <c:numCache>
                <c:formatCode>General</c:formatCode>
                <c:ptCount val="11"/>
                <c:pt idx="0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EE0-4502-AB9E-3E08D7A0646F}"/>
            </c:ext>
          </c:extLst>
        </c:ser>
        <c:ser>
          <c:idx val="1"/>
          <c:order val="1"/>
          <c:tx>
            <c:strRef>
              <c:f>SOGLD!$F$4</c:f>
              <c:strCache>
                <c:ptCount val="1"/>
                <c:pt idx="0">
                  <c:v>2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10"/>
            <c:spPr>
              <a:noFill/>
              <a:ln w="12700">
                <a:solidFill>
                  <a:schemeClr val="accent2"/>
                </a:solidFill>
              </a:ln>
              <a:effectLst/>
            </c:spPr>
          </c:marker>
          <c:xVal>
            <c:numRef>
              <c:f>SOGLD!$C$5:$C$15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xVal>
          <c:yVal>
            <c:numRef>
              <c:f>SOGLD!$F$5:$F$15</c:f>
              <c:numCache>
                <c:formatCode>General</c:formatCode>
                <c:ptCount val="11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EE0-4502-AB9E-3E08D7A0646F}"/>
            </c:ext>
          </c:extLst>
        </c:ser>
        <c:ser>
          <c:idx val="2"/>
          <c:order val="2"/>
          <c:tx>
            <c:strRef>
              <c:f>SOGLD!$G$4</c:f>
              <c:strCache>
                <c:ptCount val="1"/>
                <c:pt idx="0">
                  <c:v>3</c:v>
                </c:pt>
              </c:strCache>
            </c:strRef>
          </c:tx>
          <c:spPr>
            <a:ln w="12700" cap="rnd">
              <a:solidFill>
                <a:schemeClr val="accent3"/>
              </a:solidFill>
              <a:round/>
            </a:ln>
            <a:effectLst/>
          </c:spPr>
          <c:marker>
            <c:symbol val="plus"/>
            <c:size val="10"/>
            <c:spPr>
              <a:noFill/>
              <a:ln w="12700">
                <a:solidFill>
                  <a:schemeClr val="accent3"/>
                </a:solidFill>
              </a:ln>
              <a:effectLst/>
            </c:spPr>
          </c:marker>
          <c:xVal>
            <c:numRef>
              <c:f>SOGLD!$C$5:$C$15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xVal>
          <c:yVal>
            <c:numRef>
              <c:f>SOGLD!$G$5:$G$15</c:f>
              <c:numCache>
                <c:formatCode>General</c:formatCode>
                <c:ptCount val="11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EE0-4502-AB9E-3E08D7A06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4746440"/>
        <c:axId val="454749968"/>
      </c:scatterChart>
      <c:valAx>
        <c:axId val="454746440"/>
        <c:scaling>
          <c:orientation val="minMax"/>
          <c:max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/>
                  <a:t>Cumulative population share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4749968"/>
        <c:crosses val="autoZero"/>
        <c:crossBetween val="midCat"/>
      </c:valAx>
      <c:valAx>
        <c:axId val="4547499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47464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Figure 2: Deviations from 1: No NRT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SOGLD!$F$4</c:f>
              <c:strCache>
                <c:ptCount val="1"/>
                <c:pt idx="0">
                  <c:v>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10"/>
            <c:spPr>
              <a:noFill/>
              <a:ln w="12700">
                <a:solidFill>
                  <a:schemeClr val="accent2"/>
                </a:solidFill>
              </a:ln>
              <a:effectLst/>
            </c:spPr>
          </c:marker>
          <c:xVal>
            <c:numRef>
              <c:f>SOGLD!$C$5:$C$15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xVal>
          <c:yVal>
            <c:numRef>
              <c:f>SOGLD!$H$5:$H$15</c:f>
              <c:numCache>
                <c:formatCode>0.00000000</c:formatCode>
                <c:ptCount val="11"/>
                <c:pt idx="0" formatCode="General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546-4707-A0D8-14AA991BD74C}"/>
            </c:ext>
          </c:extLst>
        </c:ser>
        <c:ser>
          <c:idx val="2"/>
          <c:order val="1"/>
          <c:tx>
            <c:strRef>
              <c:f>SOGLD!$G$4</c:f>
              <c:strCache>
                <c:ptCount val="1"/>
                <c:pt idx="0">
                  <c:v>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plus"/>
            <c:size val="10"/>
            <c:spPr>
              <a:noFill/>
              <a:ln w="12700">
                <a:solidFill>
                  <a:schemeClr val="accent3"/>
                </a:solidFill>
              </a:ln>
              <a:effectLst/>
            </c:spPr>
          </c:marker>
          <c:xVal>
            <c:numRef>
              <c:f>SOGLD!$C$5:$C$15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xVal>
          <c:yVal>
            <c:numRef>
              <c:f>SOGLD!$I$5:$I$15</c:f>
              <c:numCache>
                <c:formatCode>0.00000000</c:formatCode>
                <c:ptCount val="11"/>
                <c:pt idx="0" formatCode="General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546-4707-A0D8-14AA991BD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4751536"/>
        <c:axId val="454753104"/>
      </c:scatterChart>
      <c:valAx>
        <c:axId val="454751536"/>
        <c:scaling>
          <c:orientation val="minMax"/>
          <c:max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="1"/>
                  <a:t>Cumulative population</a:t>
                </a:r>
                <a:r>
                  <a:rPr lang="en-GB" sz="1200" b="1" baseline="0"/>
                  <a:t> share</a:t>
                </a:r>
                <a:endParaRPr lang="en-GB" sz="12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1" i="0" u="none" strike="noStrike" kern="120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4753104"/>
        <c:crosses val="autoZero"/>
        <c:crossBetween val="midCat"/>
      </c:valAx>
      <c:valAx>
        <c:axId val="454753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0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47515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Figure 1:</a:t>
            </a:r>
            <a:r>
              <a:rPr lang="en-GB" b="1" baseline="0"/>
              <a:t> </a:t>
            </a:r>
            <a:r>
              <a:rPr lang="en-GB" b="1"/>
              <a:t>HALE</a:t>
            </a:r>
            <a:r>
              <a:rPr lang="en-GB" b="1" baseline="0"/>
              <a:t> distributions</a:t>
            </a:r>
            <a:br>
              <a:rPr lang="en-GB" b="1" baseline="0"/>
            </a:br>
            <a:r>
              <a:rPr lang="en-GB" b="1" baseline="0"/>
              <a:t>(Cannot see the difference at this scale)</a:t>
            </a:r>
            <a:endParaRPr lang="en-GB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PD!$D$4</c:f>
              <c:strCache>
                <c:ptCount val="1"/>
                <c:pt idx="0">
                  <c:v>1: No Public NRT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'SES Only'!$B$6:$B$10</c:f>
              <c:strCache>
                <c:ptCount val="5"/>
                <c:pt idx="0">
                  <c:v>1 - most deprived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5 - least deprived</c:v>
                </c:pt>
              </c:strCache>
            </c:strRef>
          </c:cat>
          <c:val>
            <c:numRef>
              <c:f>'SES Only'!$D$6:$D$10</c:f>
              <c:numCache>
                <c:formatCode>#,##0.000000</c:formatCode>
                <c:ptCount val="5"/>
                <c:pt idx="0">
                  <c:v>63.34426655613548</c:v>
                </c:pt>
                <c:pt idx="1">
                  <c:v>68.779325031978331</c:v>
                </c:pt>
                <c:pt idx="2">
                  <c:v>70.865612456999756</c:v>
                </c:pt>
                <c:pt idx="3">
                  <c:v>74.325243200694047</c:v>
                </c:pt>
                <c:pt idx="4">
                  <c:v>76.245494462730292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C4-4A47-BC84-C54EC6A5151F}"/>
            </c:ext>
          </c:extLst>
        </c:ser>
        <c:ser>
          <c:idx val="0"/>
          <c:order val="1"/>
          <c:tx>
            <c:strRef>
              <c:f>PD!$E$4</c:f>
              <c:strCache>
                <c:ptCount val="1"/>
                <c:pt idx="0">
                  <c:v>2: Universal NRT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'SES Only'!$B$6:$B$10</c:f>
              <c:strCache>
                <c:ptCount val="5"/>
                <c:pt idx="0">
                  <c:v>1 - most deprived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5 - least deprived</c:v>
                </c:pt>
              </c:strCache>
            </c:strRef>
          </c:cat>
          <c:val>
            <c:numRef>
              <c:f>'SES Only'!$E$6:$E$10</c:f>
              <c:numCache>
                <c:formatCode>#,##0.000000</c:formatCode>
                <c:ptCount val="5"/>
                <c:pt idx="0">
                  <c:v>63.344402895450415</c:v>
                </c:pt>
                <c:pt idx="1">
                  <c:v>68.77942022145163</c:v>
                </c:pt>
                <c:pt idx="2">
                  <c:v>70.865718865139243</c:v>
                </c:pt>
                <c:pt idx="3">
                  <c:v>74.325306908405608</c:v>
                </c:pt>
                <c:pt idx="4">
                  <c:v>76.245556018439885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C4-4A47-BC84-C54EC6A5151F}"/>
            </c:ext>
          </c:extLst>
        </c:ser>
        <c:ser>
          <c:idx val="2"/>
          <c:order val="2"/>
          <c:tx>
            <c:strRef>
              <c:f>PD!$F$4</c:f>
              <c:strCache>
                <c:ptCount val="1"/>
                <c:pt idx="0">
                  <c:v>3: Proportional Universal NRT</c:v>
                </c:pt>
              </c:strCache>
            </c:strRef>
          </c:tx>
          <c:spPr>
            <a:solidFill>
              <a:schemeClr val="accent3"/>
            </a:solidFill>
            <a:ln w="19050">
              <a:noFill/>
            </a:ln>
            <a:effectLst/>
          </c:spPr>
          <c:invertIfNegative val="0"/>
          <c:cat>
            <c:strRef>
              <c:f>'SES Only'!$B$6:$B$10</c:f>
              <c:strCache>
                <c:ptCount val="5"/>
                <c:pt idx="0">
                  <c:v>1 - most deprived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5 - least deprived</c:v>
                </c:pt>
              </c:strCache>
            </c:strRef>
          </c:cat>
          <c:val>
            <c:numRef>
              <c:f>'SES Only'!$F$6:$F$10</c:f>
              <c:numCache>
                <c:formatCode>#,##0.000000</c:formatCode>
                <c:ptCount val="5"/>
                <c:pt idx="0">
                  <c:v>63.344442275996762</c:v>
                </c:pt>
                <c:pt idx="1">
                  <c:v>68.779421405743662</c:v>
                </c:pt>
                <c:pt idx="2">
                  <c:v>70.86569905641889</c:v>
                </c:pt>
                <c:pt idx="3">
                  <c:v>74.325285849028361</c:v>
                </c:pt>
                <c:pt idx="4">
                  <c:v>76.245537401282249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C4-4A47-BC84-C54EC6A51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4746832"/>
        <c:axId val="454751928"/>
      </c:barChart>
      <c:catAx>
        <c:axId val="4547468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100" b="1"/>
                  <a:t>SES group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1" i="0" u="none" strike="noStrike" kern="120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4751928"/>
        <c:crosses val="autoZero"/>
        <c:auto val="1"/>
        <c:lblAlgn val="ctr"/>
        <c:lblOffset val="100"/>
        <c:noMultiLvlLbl val="0"/>
      </c:catAx>
      <c:valAx>
        <c:axId val="454751928"/>
        <c:scaling>
          <c:orientation val="minMax"/>
          <c:max val="8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100" b="1"/>
                  <a:t>HALE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4746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Figure 2:  Incremental NHB in population total</a:t>
            </a:r>
            <a:r>
              <a:rPr lang="en-GB" b="1" baseline="0"/>
              <a:t> </a:t>
            </a:r>
            <a:r>
              <a:rPr lang="en-GB" b="1"/>
              <a:t>HALYs compared</a:t>
            </a:r>
            <a:r>
              <a:rPr lang="en-GB" b="1" baseline="0"/>
              <a:t> with </a:t>
            </a:r>
            <a:r>
              <a:rPr lang="en-GB" b="1"/>
              <a:t>1: No NRT</a:t>
            </a:r>
          </a:p>
          <a:p>
            <a:pPr>
              <a:defRPr b="1"/>
            </a:pPr>
            <a:r>
              <a:rPr lang="en-GB" b="1"/>
              <a:t>(3</a:t>
            </a:r>
            <a:r>
              <a:rPr lang="en-GB" b="1" baseline="0"/>
              <a:t> and 2 both Pareto dominate 1)</a:t>
            </a:r>
            <a:endParaRPr lang="en-GB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PD!$E$4</c:f>
              <c:strCache>
                <c:ptCount val="1"/>
                <c:pt idx="0">
                  <c:v>2: Universal NRT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'SES Only'!$B$6:$B$10</c:f>
              <c:strCache>
                <c:ptCount val="5"/>
                <c:pt idx="0">
                  <c:v>1 - most deprived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5 - least deprived</c:v>
                </c:pt>
              </c:strCache>
            </c:strRef>
          </c:cat>
          <c:val>
            <c:numRef>
              <c:f>'SES Only'!$H$6:$H$10</c:f>
              <c:numCache>
                <c:formatCode>#,##0_ ;\-#,##0\ </c:formatCode>
                <c:ptCount val="5"/>
                <c:pt idx="0">
                  <c:v>1532.3506909608841</c:v>
                </c:pt>
                <c:pt idx="1">
                  <c:v>1083.4494407176971</c:v>
                </c:pt>
                <c:pt idx="2">
                  <c:v>1180.0998917818069</c:v>
                </c:pt>
                <c:pt idx="3">
                  <c:v>694.15406477451324</c:v>
                </c:pt>
                <c:pt idx="4">
                  <c:v>656.21827387809753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81-48EE-BFBF-43EFD28CC947}"/>
            </c:ext>
          </c:extLst>
        </c:ser>
        <c:ser>
          <c:idx val="2"/>
          <c:order val="1"/>
          <c:tx>
            <c:strRef>
              <c:f>PD!$F$4</c:f>
              <c:strCache>
                <c:ptCount val="1"/>
                <c:pt idx="0">
                  <c:v>3: Proportional Universal NRT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'SES Only'!$B$6:$B$10</c:f>
              <c:strCache>
                <c:ptCount val="5"/>
                <c:pt idx="0">
                  <c:v>1 - most deprived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5 - least deprived</c:v>
                </c:pt>
              </c:strCache>
            </c:strRef>
          </c:cat>
          <c:val>
            <c:numRef>
              <c:f>'SES Only'!$I$6:$I$10</c:f>
              <c:numCache>
                <c:formatCode>#,##0_ ;\-#,##0\ </c:formatCode>
                <c:ptCount val="5"/>
                <c:pt idx="0">
                  <c:v>1974.9582208395004</c:v>
                </c:pt>
                <c:pt idx="1">
                  <c:v>1096.9290881156921</c:v>
                </c:pt>
                <c:pt idx="2">
                  <c:v>960.41492354869843</c:v>
                </c:pt>
                <c:pt idx="3">
                  <c:v>464.69279611110687</c:v>
                </c:pt>
                <c:pt idx="4">
                  <c:v>457.74896657466888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81-48EE-BFBF-43EFD28CC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4752712"/>
        <c:axId val="454752320"/>
      </c:barChart>
      <c:catAx>
        <c:axId val="4547527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100" b="1"/>
                  <a:t>SES group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1" i="0" u="none" strike="noStrike" kern="120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4752320"/>
        <c:crosses val="autoZero"/>
        <c:auto val="1"/>
        <c:lblAlgn val="ctr"/>
        <c:lblOffset val="100"/>
        <c:noMultiLvlLbl val="0"/>
      </c:catAx>
      <c:valAx>
        <c:axId val="45475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 HALY difference from No NRT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4752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Figure 3:  Incremental</a:t>
            </a:r>
            <a:r>
              <a:rPr lang="en-GB" b="1" baseline="0"/>
              <a:t> NHB in population total HALYs c</a:t>
            </a:r>
            <a:r>
              <a:rPr lang="en-GB" b="1"/>
              <a:t>ompared</a:t>
            </a:r>
            <a:r>
              <a:rPr lang="en-GB" b="1" baseline="0"/>
              <a:t> with 2</a:t>
            </a:r>
            <a:r>
              <a:rPr lang="en-GB" b="1"/>
              <a:t>: Universal NRT</a:t>
            </a:r>
          </a:p>
          <a:p>
            <a:pPr>
              <a:defRPr b="1"/>
            </a:pPr>
            <a:r>
              <a:rPr lang="en-GB" b="1"/>
              <a:t>(Is there</a:t>
            </a:r>
            <a:r>
              <a:rPr lang="en-GB" b="1" baseline="0"/>
              <a:t> Pareto dominance between 3 and 2?)</a:t>
            </a:r>
            <a:endParaRPr lang="en-GB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PD!$F$4</c:f>
              <c:strCache>
                <c:ptCount val="1"/>
                <c:pt idx="0">
                  <c:v>3: Proportional Universal NRT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'SES Only'!$B$6:$B$10</c:f>
              <c:strCache>
                <c:ptCount val="5"/>
                <c:pt idx="0">
                  <c:v>1 - most deprived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5 - least deprived</c:v>
                </c:pt>
              </c:strCache>
            </c:strRef>
          </c:cat>
          <c:val>
            <c:numRef>
              <c:f>'SES Only'!$J$6:$J$10</c:f>
              <c:numCache>
                <c:formatCode>#,##0_ ;\-#,##0\ 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86B3-459E-886C-40CFDA0E5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4747224"/>
        <c:axId val="454749576"/>
      </c:barChart>
      <c:catAx>
        <c:axId val="4547472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100" b="1"/>
                  <a:t>SES group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1" i="0" u="none" strike="noStrike" kern="120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4749576"/>
        <c:crosses val="autoZero"/>
        <c:auto val="1"/>
        <c:lblAlgn val="ctr"/>
        <c:lblOffset val="100"/>
        <c:noMultiLvlLbl val="0"/>
      </c:catAx>
      <c:valAx>
        <c:axId val="454749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 HALY difference from Universal NRT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4747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Figure 1:</a:t>
            </a:r>
            <a:r>
              <a:rPr lang="en-GB" b="1" baseline="0"/>
              <a:t> S</a:t>
            </a:r>
            <a:r>
              <a:rPr lang="en-GB" b="1"/>
              <a:t>tandard concentration curves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3"/>
          <c:order val="0"/>
          <c:tx>
            <c:v>line of equality</c:v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CD!$G$5:$G$10</c:f>
              <c:numCache>
                <c:formatCode>General</c:formatCode>
                <c:ptCount val="6"/>
                <c:pt idx="0">
                  <c:v>0</c:v>
                </c:pt>
                <c:pt idx="1">
                  <c:v>0.20335871345020987</c:v>
                </c:pt>
                <c:pt idx="2">
                  <c:v>0.40930096216319634</c:v>
                </c:pt>
                <c:pt idx="3">
                  <c:v>0.6099650454574429</c:v>
                </c:pt>
                <c:pt idx="4">
                  <c:v>0.807111781202697</c:v>
                </c:pt>
                <c:pt idx="5">
                  <c:v>1</c:v>
                </c:pt>
              </c:numCache>
            </c:numRef>
          </c:xVal>
          <c:yVal>
            <c:numRef>
              <c:f>CD!$G$5:$G$10</c:f>
              <c:numCache>
                <c:formatCode>General</c:formatCode>
                <c:ptCount val="6"/>
                <c:pt idx="0">
                  <c:v>0</c:v>
                </c:pt>
                <c:pt idx="1">
                  <c:v>0.20335871345020987</c:v>
                </c:pt>
                <c:pt idx="2">
                  <c:v>0.40930096216319634</c:v>
                </c:pt>
                <c:pt idx="3">
                  <c:v>0.6099650454574429</c:v>
                </c:pt>
                <c:pt idx="4">
                  <c:v>0.807111781202697</c:v>
                </c:pt>
                <c:pt idx="5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57D-45D1-844C-8992CFB3094D}"/>
            </c:ext>
          </c:extLst>
        </c:ser>
        <c:ser>
          <c:idx val="0"/>
          <c:order val="1"/>
          <c:tx>
            <c:strRef>
              <c:f>CD!$I$4</c:f>
              <c:strCache>
                <c:ptCount val="1"/>
                <c:pt idx="0">
                  <c:v>1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10"/>
            <c:spPr>
              <a:noFill/>
              <a:ln w="12700">
                <a:solidFill>
                  <a:schemeClr val="accent1"/>
                </a:solidFill>
              </a:ln>
              <a:effectLst/>
            </c:spPr>
          </c:marker>
          <c:xVal>
            <c:numRef>
              <c:f>CD!$G$5:$G$10</c:f>
              <c:numCache>
                <c:formatCode>General</c:formatCode>
                <c:ptCount val="6"/>
                <c:pt idx="0">
                  <c:v>0</c:v>
                </c:pt>
                <c:pt idx="1">
                  <c:v>0.20335871345020987</c:v>
                </c:pt>
                <c:pt idx="2">
                  <c:v>0.40930096216319634</c:v>
                </c:pt>
                <c:pt idx="3">
                  <c:v>0.6099650454574429</c:v>
                </c:pt>
                <c:pt idx="4">
                  <c:v>0.807111781202697</c:v>
                </c:pt>
                <c:pt idx="5">
                  <c:v>1</c:v>
                </c:pt>
              </c:numCache>
            </c:numRef>
          </c:xVal>
          <c:yVal>
            <c:numRef>
              <c:f>CD!$I$5:$I$10</c:f>
              <c:numCache>
                <c:formatCode>General</c:formatCode>
                <c:ptCount val="6"/>
                <c:pt idx="0">
                  <c:v>0</c:v>
                </c:pt>
                <c:pt idx="1">
                  <c:v>0.18239136536742201</c:v>
                </c:pt>
                <c:pt idx="2">
                  <c:v>0.38294823249317611</c:v>
                </c:pt>
                <c:pt idx="3">
                  <c:v>0.58429254536667918</c:v>
                </c:pt>
                <c:pt idx="4">
                  <c:v>0.79176483817442378</c:v>
                </c:pt>
                <c:pt idx="5">
                  <c:v>0.99999999999999989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57D-45D1-844C-8992CFB3094D}"/>
            </c:ext>
          </c:extLst>
        </c:ser>
        <c:ser>
          <c:idx val="1"/>
          <c:order val="2"/>
          <c:tx>
            <c:strRef>
              <c:f>CD!$J$4</c:f>
              <c:strCache>
                <c:ptCount val="1"/>
                <c:pt idx="0">
                  <c:v>2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10"/>
            <c:spPr>
              <a:noFill/>
              <a:ln w="12700">
                <a:solidFill>
                  <a:schemeClr val="accent2"/>
                </a:solidFill>
              </a:ln>
              <a:effectLst/>
            </c:spPr>
          </c:marker>
          <c:xVal>
            <c:numRef>
              <c:f>CD!$G$5:$G$10</c:f>
              <c:numCache>
                <c:formatCode>General</c:formatCode>
                <c:ptCount val="6"/>
                <c:pt idx="0">
                  <c:v>0</c:v>
                </c:pt>
                <c:pt idx="1">
                  <c:v>0.20335871345020987</c:v>
                </c:pt>
                <c:pt idx="2">
                  <c:v>0.40930096216319634</c:v>
                </c:pt>
                <c:pt idx="3">
                  <c:v>0.6099650454574429</c:v>
                </c:pt>
                <c:pt idx="4">
                  <c:v>0.807111781202697</c:v>
                </c:pt>
                <c:pt idx="5">
                  <c:v>1</c:v>
                </c:pt>
              </c:numCache>
            </c:numRef>
          </c:xVal>
          <c:yVal>
            <c:numRef>
              <c:f>CD!$J$5:$J$10</c:f>
              <c:numCache>
                <c:formatCode>General</c:formatCode>
                <c:ptCount val="6"/>
                <c:pt idx="0">
                  <c:v>0</c:v>
                </c:pt>
                <c:pt idx="1">
                  <c:v>0.18239151747028395</c:v>
                </c:pt>
                <c:pt idx="2">
                  <c:v>0.38294839774597417</c:v>
                </c:pt>
                <c:pt idx="3">
                  <c:v>0.58429274749195004</c:v>
                </c:pt>
                <c:pt idx="4">
                  <c:v>0.79176494459930169</c:v>
                </c:pt>
                <c:pt idx="5">
                  <c:v>1.0000000000000002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57D-45D1-844C-8992CFB3094D}"/>
            </c:ext>
          </c:extLst>
        </c:ser>
        <c:ser>
          <c:idx val="2"/>
          <c:order val="3"/>
          <c:tx>
            <c:strRef>
              <c:f>CD!$K$4</c:f>
              <c:strCache>
                <c:ptCount val="1"/>
                <c:pt idx="0">
                  <c:v>3</c:v>
                </c:pt>
              </c:strCache>
            </c:strRef>
          </c:tx>
          <c:spPr>
            <a:ln w="12700" cap="rnd">
              <a:solidFill>
                <a:schemeClr val="accent3"/>
              </a:solidFill>
              <a:round/>
            </a:ln>
            <a:effectLst/>
          </c:spPr>
          <c:marker>
            <c:symbol val="plus"/>
            <c:size val="5"/>
            <c:spPr>
              <a:noFill/>
              <a:ln w="12700">
                <a:solidFill>
                  <a:schemeClr val="accent3"/>
                </a:solidFill>
              </a:ln>
              <a:effectLst/>
            </c:spPr>
          </c:marker>
          <c:xVal>
            <c:numRef>
              <c:f>CD!$G$5:$G$10</c:f>
              <c:numCache>
                <c:formatCode>General</c:formatCode>
                <c:ptCount val="6"/>
                <c:pt idx="0">
                  <c:v>0</c:v>
                </c:pt>
                <c:pt idx="1">
                  <c:v>0.20335871345020987</c:v>
                </c:pt>
                <c:pt idx="2">
                  <c:v>0.40930096216319634</c:v>
                </c:pt>
                <c:pt idx="3">
                  <c:v>0.6099650454574429</c:v>
                </c:pt>
                <c:pt idx="4">
                  <c:v>0.807111781202697</c:v>
                </c:pt>
                <c:pt idx="5">
                  <c:v>1</c:v>
                </c:pt>
              </c:numCache>
            </c:numRef>
          </c:xVal>
          <c:yVal>
            <c:numRef>
              <c:f>CD!$K$5:$K$10</c:f>
              <c:numCache>
                <c:formatCode>General</c:formatCode>
                <c:ptCount val="6"/>
                <c:pt idx="0">
                  <c:v>0</c:v>
                </c:pt>
                <c:pt idx="1">
                  <c:v>0.18239163981063519</c:v>
                </c:pt>
                <c:pt idx="2">
                  <c:v>0.3829485333804451</c:v>
                </c:pt>
                <c:pt idx="3">
                  <c:v>0.58429283672512511</c:v>
                </c:pt>
                <c:pt idx="4">
                  <c:v>0.79176498522728389</c:v>
                </c:pt>
                <c:pt idx="5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57D-45D1-844C-8992CFB309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3879824"/>
        <c:axId val="453876688"/>
      </c:scatterChart>
      <c:valAx>
        <c:axId val="453879824"/>
        <c:scaling>
          <c:orientation val="minMax"/>
          <c:max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100" b="1"/>
                  <a:t>Cumulative population</a:t>
                </a:r>
                <a:r>
                  <a:rPr lang="en-GB" sz="1100" b="1" baseline="0"/>
                  <a:t> share ranked by SES</a:t>
                </a:r>
                <a:endParaRPr lang="en-GB" sz="11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1" i="0" u="none" strike="noStrike" kern="120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3876688"/>
        <c:crosses val="autoZero"/>
        <c:crossBetween val="midCat"/>
      </c:valAx>
      <c:valAx>
        <c:axId val="453876688"/>
        <c:scaling>
          <c:orientation val="minMax"/>
          <c:max val="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Cumulative health share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38798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Figure 2: Deviation</a:t>
            </a:r>
            <a:r>
              <a:rPr lang="en-GB" b="1" baseline="0"/>
              <a:t> from 1: No NRT</a:t>
            </a:r>
            <a:endParaRPr lang="en-GB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CD!$J$4</c:f>
              <c:strCache>
                <c:ptCount val="1"/>
                <c:pt idx="0">
                  <c:v>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CD!$G$5:$G$10</c:f>
              <c:numCache>
                <c:formatCode>General</c:formatCode>
                <c:ptCount val="6"/>
                <c:pt idx="0">
                  <c:v>0</c:v>
                </c:pt>
                <c:pt idx="1">
                  <c:v>0.20335871345020987</c:v>
                </c:pt>
                <c:pt idx="2">
                  <c:v>0.40930096216319634</c:v>
                </c:pt>
                <c:pt idx="3">
                  <c:v>0.6099650454574429</c:v>
                </c:pt>
                <c:pt idx="4">
                  <c:v>0.807111781202697</c:v>
                </c:pt>
                <c:pt idx="5">
                  <c:v>1</c:v>
                </c:pt>
              </c:numCache>
            </c:numRef>
          </c:xVal>
          <c:yVal>
            <c:numRef>
              <c:f>CD!$L$5:$L$10</c:f>
              <c:numCache>
                <c:formatCode>0.00000000</c:formatCode>
                <c:ptCount val="6"/>
                <c:pt idx="0" formatCode="General">
                  <c:v>0</c:v>
                </c:pt>
                <c:pt idx="1">
                  <c:v>1.5210286194444755E-7</c:v>
                </c:pt>
                <c:pt idx="2">
                  <c:v>1.6525279805668092E-7</c:v>
                </c:pt>
                <c:pt idx="3">
                  <c:v>2.0212527085394782E-7</c:v>
                </c:pt>
                <c:pt idx="4">
                  <c:v>1.0642487791034938E-7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021-443E-9FA4-55E59A8D7930}"/>
            </c:ext>
          </c:extLst>
        </c:ser>
        <c:ser>
          <c:idx val="2"/>
          <c:order val="1"/>
          <c:tx>
            <c:strRef>
              <c:f>CD!$K$4</c:f>
              <c:strCache>
                <c:ptCount val="1"/>
                <c:pt idx="0">
                  <c:v>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CD!$G$5:$G$10</c:f>
              <c:numCache>
                <c:formatCode>General</c:formatCode>
                <c:ptCount val="6"/>
                <c:pt idx="0">
                  <c:v>0</c:v>
                </c:pt>
                <c:pt idx="1">
                  <c:v>0.20335871345020987</c:v>
                </c:pt>
                <c:pt idx="2">
                  <c:v>0.40930096216319634</c:v>
                </c:pt>
                <c:pt idx="3">
                  <c:v>0.6099650454574429</c:v>
                </c:pt>
                <c:pt idx="4">
                  <c:v>0.807111781202697</c:v>
                </c:pt>
                <c:pt idx="5">
                  <c:v>1</c:v>
                </c:pt>
              </c:numCache>
            </c:numRef>
          </c:xVal>
          <c:yVal>
            <c:numRef>
              <c:f>CD!$M$5:$M$10</c:f>
              <c:numCache>
                <c:formatCode>0.00000000</c:formatCode>
                <c:ptCount val="6"/>
                <c:pt idx="0" formatCode="General">
                  <c:v>0</c:v>
                </c:pt>
                <c:pt idx="1">
                  <c:v>2.7444321318292886E-7</c:v>
                </c:pt>
                <c:pt idx="2">
                  <c:v>3.008872689891362E-7</c:v>
                </c:pt>
                <c:pt idx="3">
                  <c:v>2.9135844592520499E-7</c:v>
                </c:pt>
                <c:pt idx="4">
                  <c:v>1.4705286011107432E-7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021-443E-9FA4-55E59A8D7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3881392"/>
        <c:axId val="453879432"/>
      </c:scatterChart>
      <c:valAx>
        <c:axId val="453881392"/>
        <c:scaling>
          <c:orientation val="minMax"/>
          <c:max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100" b="1"/>
                  <a:t>Cumulative population share ranked by SES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1" i="0" u="none" strike="noStrike" kern="120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3879432"/>
        <c:crosses val="autoZero"/>
        <c:crossBetween val="midCat"/>
        <c:majorUnit val="0.2"/>
      </c:valAx>
      <c:valAx>
        <c:axId val="453879432"/>
        <c:scaling>
          <c:orientation val="minMax"/>
        </c:scaling>
        <c:delete val="0"/>
        <c:axPos val="l"/>
        <c:numFmt formatCode="#,##0.000000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38813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Figure 1: Generalized concentration curves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GCD!$E$4</c:f>
              <c:strCache>
                <c:ptCount val="1"/>
                <c:pt idx="0">
                  <c:v>1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10"/>
            <c:spPr>
              <a:noFill/>
              <a:ln w="12700">
                <a:solidFill>
                  <a:schemeClr val="accent1"/>
                </a:solidFill>
              </a:ln>
              <a:effectLst/>
            </c:spPr>
          </c:marker>
          <c:xVal>
            <c:numRef>
              <c:f>GCD!$C$5:$C$10</c:f>
              <c:numCache>
                <c:formatCode>General</c:formatCode>
                <c:ptCount val="6"/>
                <c:pt idx="0">
                  <c:v>0</c:v>
                </c:pt>
                <c:pt idx="1">
                  <c:v>0.20335871345020987</c:v>
                </c:pt>
                <c:pt idx="2">
                  <c:v>0.40930096216319634</c:v>
                </c:pt>
                <c:pt idx="3">
                  <c:v>0.6099650454574429</c:v>
                </c:pt>
                <c:pt idx="4">
                  <c:v>0.807111781202697</c:v>
                </c:pt>
                <c:pt idx="5">
                  <c:v>1</c:v>
                </c:pt>
              </c:numCache>
            </c:numRef>
          </c:xVal>
          <c:yVal>
            <c:numRef>
              <c:f>GCD!$E$5:$E$10</c:f>
              <c:numCache>
                <c:formatCode>General</c:formatCode>
                <c:ptCount val="6"/>
                <c:pt idx="0">
                  <c:v>0</c:v>
                </c:pt>
                <c:pt idx="1">
                  <c:v>12.881608551302866</c:v>
                </c:pt>
                <c:pt idx="2">
                  <c:v>27.046177413349884</c:v>
                </c:pt>
                <c:pt idx="3">
                  <c:v>41.266360574119076</c:v>
                </c:pt>
                <c:pt idx="4">
                  <c:v>55.919339654608052</c:v>
                </c:pt>
                <c:pt idx="5">
                  <c:v>70.626197272843726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C2E-45EB-AAEA-865EFC846397}"/>
            </c:ext>
          </c:extLst>
        </c:ser>
        <c:ser>
          <c:idx val="1"/>
          <c:order val="1"/>
          <c:tx>
            <c:strRef>
              <c:f>GCD!$F$4</c:f>
              <c:strCache>
                <c:ptCount val="1"/>
                <c:pt idx="0">
                  <c:v>2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10"/>
            <c:spPr>
              <a:noFill/>
              <a:ln w="12700">
                <a:solidFill>
                  <a:schemeClr val="accent2"/>
                </a:solidFill>
              </a:ln>
              <a:effectLst/>
            </c:spPr>
          </c:marker>
          <c:xVal>
            <c:numRef>
              <c:f>GCD!$C$5:$C$10</c:f>
              <c:numCache>
                <c:formatCode>General</c:formatCode>
                <c:ptCount val="6"/>
                <c:pt idx="0">
                  <c:v>0</c:v>
                </c:pt>
                <c:pt idx="1">
                  <c:v>0.20335871345020987</c:v>
                </c:pt>
                <c:pt idx="2">
                  <c:v>0.40930096216319634</c:v>
                </c:pt>
                <c:pt idx="3">
                  <c:v>0.6099650454574429</c:v>
                </c:pt>
                <c:pt idx="4">
                  <c:v>0.807111781202697</c:v>
                </c:pt>
                <c:pt idx="5">
                  <c:v>1</c:v>
                </c:pt>
              </c:numCache>
            </c:numRef>
          </c:xVal>
          <c:yVal>
            <c:numRef>
              <c:f>GCD!$F$5:$F$10</c:f>
              <c:numCache>
                <c:formatCode>General</c:formatCode>
                <c:ptCount val="6"/>
                <c:pt idx="0">
                  <c:v>0</c:v>
                </c:pt>
                <c:pt idx="1">
                  <c:v>12.881636277090545</c:v>
                </c:pt>
                <c:pt idx="2">
                  <c:v>27.046224742671747</c:v>
                </c:pt>
                <c:pt idx="3">
                  <c:v>41.26642925573271</c:v>
                </c:pt>
                <c:pt idx="4">
                  <c:v>55.919420895989063</c:v>
                </c:pt>
                <c:pt idx="5">
                  <c:v>70.626290387595915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C2E-45EB-AAEA-865EFC846397}"/>
            </c:ext>
          </c:extLst>
        </c:ser>
        <c:ser>
          <c:idx val="2"/>
          <c:order val="2"/>
          <c:tx>
            <c:strRef>
              <c:f>GCD!$G$4</c:f>
              <c:strCache>
                <c:ptCount val="1"/>
                <c:pt idx="0">
                  <c:v>3</c:v>
                </c:pt>
              </c:strCache>
            </c:strRef>
          </c:tx>
          <c:spPr>
            <a:ln w="12700" cap="rnd">
              <a:solidFill>
                <a:schemeClr val="accent3"/>
              </a:solidFill>
              <a:round/>
            </a:ln>
            <a:effectLst/>
          </c:spPr>
          <c:marker>
            <c:symbol val="plus"/>
            <c:size val="10"/>
            <c:spPr>
              <a:noFill/>
              <a:ln w="12700">
                <a:solidFill>
                  <a:schemeClr val="accent3"/>
                </a:solidFill>
              </a:ln>
              <a:effectLst/>
            </c:spPr>
          </c:marker>
          <c:xVal>
            <c:numRef>
              <c:f>GCD!$C$5:$C$10</c:f>
              <c:numCache>
                <c:formatCode>General</c:formatCode>
                <c:ptCount val="6"/>
                <c:pt idx="0">
                  <c:v>0</c:v>
                </c:pt>
                <c:pt idx="1">
                  <c:v>0.20335871345020987</c:v>
                </c:pt>
                <c:pt idx="2">
                  <c:v>0.40930096216319634</c:v>
                </c:pt>
                <c:pt idx="3">
                  <c:v>0.6099650454574429</c:v>
                </c:pt>
                <c:pt idx="4">
                  <c:v>0.807111781202697</c:v>
                </c:pt>
                <c:pt idx="5">
                  <c:v>1</c:v>
                </c:pt>
              </c:numCache>
            </c:numRef>
          </c:xVal>
          <c:yVal>
            <c:numRef>
              <c:f>GCD!$G$5:$G$10</c:f>
              <c:numCache>
                <c:formatCode>General</c:formatCode>
                <c:ptCount val="6"/>
                <c:pt idx="0">
                  <c:v>0</c:v>
                </c:pt>
                <c:pt idx="1">
                  <c:v>12.881644285467786</c:v>
                </c:pt>
                <c:pt idx="2">
                  <c:v>27.046232994944752</c:v>
                </c:pt>
                <c:pt idx="3">
                  <c:v>41.266433533107005</c:v>
                </c:pt>
                <c:pt idx="4">
                  <c:v>55.919421021575872</c:v>
                </c:pt>
                <c:pt idx="5">
                  <c:v>70.626286922152346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C2E-45EB-AAEA-865EFC846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3880216"/>
        <c:axId val="453880608"/>
      </c:scatterChart>
      <c:valAx>
        <c:axId val="453880216"/>
        <c:scaling>
          <c:orientation val="minMax"/>
          <c:max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="1"/>
                  <a:t>Cumulative</a:t>
                </a:r>
                <a:r>
                  <a:rPr lang="en-GB" sz="1200" b="1" baseline="0"/>
                  <a:t> population share ranked by SES</a:t>
                </a:r>
                <a:endParaRPr lang="en-GB" sz="12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3880608"/>
        <c:crosses val="autoZero"/>
        <c:crossBetween val="midCat"/>
      </c:valAx>
      <c:valAx>
        <c:axId val="45388060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38802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Figure 2: Deviation from </a:t>
            </a:r>
            <a:r>
              <a:rPr lang="en-GB" b="1" baseline="0"/>
              <a:t>1: No NRT</a:t>
            </a:r>
            <a:endParaRPr lang="en-GB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GCD!$F$4</c:f>
              <c:strCache>
                <c:ptCount val="1"/>
                <c:pt idx="0">
                  <c:v>2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10"/>
            <c:spPr>
              <a:noFill/>
              <a:ln w="12700">
                <a:solidFill>
                  <a:schemeClr val="accent2"/>
                </a:solidFill>
              </a:ln>
              <a:effectLst/>
            </c:spPr>
          </c:marker>
          <c:xVal>
            <c:numRef>
              <c:f>GCD!$C$5:$C$10</c:f>
              <c:numCache>
                <c:formatCode>General</c:formatCode>
                <c:ptCount val="6"/>
                <c:pt idx="0">
                  <c:v>0</c:v>
                </c:pt>
                <c:pt idx="1">
                  <c:v>0.20335871345020987</c:v>
                </c:pt>
                <c:pt idx="2">
                  <c:v>0.40930096216319634</c:v>
                </c:pt>
                <c:pt idx="3">
                  <c:v>0.6099650454574429</c:v>
                </c:pt>
                <c:pt idx="4">
                  <c:v>0.807111781202697</c:v>
                </c:pt>
                <c:pt idx="5">
                  <c:v>1</c:v>
                </c:pt>
              </c:numCache>
            </c:numRef>
          </c:xVal>
          <c:yVal>
            <c:numRef>
              <c:f>GCD!$H$5:$H$10</c:f>
              <c:numCache>
                <c:formatCode>0.000000</c:formatCode>
                <c:ptCount val="6"/>
                <c:pt idx="0" formatCode="General">
                  <c:v>0</c:v>
                </c:pt>
                <c:pt idx="1">
                  <c:v>2.7725787678178904E-5</c:v>
                </c:pt>
                <c:pt idx="2">
                  <c:v>4.732932186257699E-5</c:v>
                </c:pt>
                <c:pt idx="3">
                  <c:v>6.8681613633714278E-5</c:v>
                </c:pt>
                <c:pt idx="4">
                  <c:v>8.1241381010954683E-5</c:v>
                </c:pt>
                <c:pt idx="5">
                  <c:v>9.3114752189649153E-5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045-4506-9916-E7E0857F55A3}"/>
            </c:ext>
          </c:extLst>
        </c:ser>
        <c:ser>
          <c:idx val="1"/>
          <c:order val="1"/>
          <c:tx>
            <c:strRef>
              <c:f>GCD!$G$4</c:f>
              <c:strCache>
                <c:ptCount val="1"/>
                <c:pt idx="0">
                  <c:v>3</c:v>
                </c:pt>
              </c:strCache>
            </c:strRef>
          </c:tx>
          <c:spPr>
            <a:ln w="12700" cap="rnd">
              <a:solidFill>
                <a:schemeClr val="accent3"/>
              </a:solidFill>
              <a:round/>
            </a:ln>
            <a:effectLst/>
          </c:spPr>
          <c:marker>
            <c:symbol val="plus"/>
            <c:size val="10"/>
            <c:spPr>
              <a:noFill/>
              <a:ln w="12700">
                <a:solidFill>
                  <a:schemeClr val="accent3"/>
                </a:solidFill>
              </a:ln>
              <a:effectLst/>
            </c:spPr>
          </c:marker>
          <c:xVal>
            <c:numRef>
              <c:f>GCD!$C$5:$C$10</c:f>
              <c:numCache>
                <c:formatCode>General</c:formatCode>
                <c:ptCount val="6"/>
                <c:pt idx="0">
                  <c:v>0</c:v>
                </c:pt>
                <c:pt idx="1">
                  <c:v>0.20335871345020987</c:v>
                </c:pt>
                <c:pt idx="2">
                  <c:v>0.40930096216319634</c:v>
                </c:pt>
                <c:pt idx="3">
                  <c:v>0.6099650454574429</c:v>
                </c:pt>
                <c:pt idx="4">
                  <c:v>0.807111781202697</c:v>
                </c:pt>
                <c:pt idx="5">
                  <c:v>1</c:v>
                </c:pt>
              </c:numCache>
            </c:numRef>
          </c:xVal>
          <c:yVal>
            <c:numRef>
              <c:f>GCD!$I$5:$I$10</c:f>
              <c:numCache>
                <c:formatCode>0.000000</c:formatCode>
                <c:ptCount val="6"/>
                <c:pt idx="0" formatCode="General">
                  <c:v>0</c:v>
                </c:pt>
                <c:pt idx="1">
                  <c:v>3.5734164919531963E-5</c:v>
                </c:pt>
                <c:pt idx="2">
                  <c:v>5.5581594867959438E-5</c:v>
                </c:pt>
                <c:pt idx="3">
                  <c:v>7.2958987928473107E-5</c:v>
                </c:pt>
                <c:pt idx="4">
                  <c:v>8.1366967819462843E-5</c:v>
                </c:pt>
                <c:pt idx="5">
                  <c:v>8.9649308620209922E-5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045-4506-9916-E7E0857F5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3881000"/>
        <c:axId val="453881784"/>
      </c:scatterChart>
      <c:valAx>
        <c:axId val="453881000"/>
        <c:scaling>
          <c:orientation val="minMax"/>
          <c:max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="1"/>
                  <a:t>Cumulative population share ranked by SES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3881784"/>
        <c:crosses val="autoZero"/>
        <c:crossBetween val="midCat"/>
      </c:valAx>
      <c:valAx>
        <c:axId val="45388178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38810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Figure 2:  Incremental NHB in population total</a:t>
            </a:r>
            <a:r>
              <a:rPr lang="en-GB" b="1" baseline="0"/>
              <a:t> </a:t>
            </a:r>
            <a:r>
              <a:rPr lang="en-GB" b="1"/>
              <a:t>HALYs compared</a:t>
            </a:r>
            <a:r>
              <a:rPr lang="en-GB" b="1" baseline="0"/>
              <a:t> with </a:t>
            </a:r>
            <a:r>
              <a:rPr lang="en-GB" b="1"/>
              <a:t>1: No NRT</a:t>
            </a:r>
          </a:p>
          <a:p>
            <a:pPr>
              <a:defRPr b="1"/>
            </a:pPr>
            <a:r>
              <a:rPr lang="en-GB" b="1"/>
              <a:t>(3</a:t>
            </a:r>
            <a:r>
              <a:rPr lang="en-GB" b="1" baseline="0"/>
              <a:t> and 2 both Pareto dominate 1)</a:t>
            </a:r>
            <a:endParaRPr lang="en-GB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PD!$E$4</c:f>
              <c:strCache>
                <c:ptCount val="1"/>
                <c:pt idx="0">
                  <c:v>2: Universal NRT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PD!$B$5:$B$14</c:f>
              <c:strCache>
                <c:ptCount val="10"/>
                <c:pt idx="0">
                  <c:v>S1</c:v>
                </c:pt>
                <c:pt idx="1">
                  <c:v>S2</c:v>
                </c:pt>
                <c:pt idx="2">
                  <c:v>S3</c:v>
                </c:pt>
                <c:pt idx="3">
                  <c:v>S4</c:v>
                </c:pt>
                <c:pt idx="4">
                  <c:v>S5</c:v>
                </c:pt>
                <c:pt idx="5">
                  <c:v>N1</c:v>
                </c:pt>
                <c:pt idx="6">
                  <c:v>N2</c:v>
                </c:pt>
                <c:pt idx="7">
                  <c:v>N3</c:v>
                </c:pt>
                <c:pt idx="8">
                  <c:v>N4</c:v>
                </c:pt>
                <c:pt idx="9">
                  <c:v>N5</c:v>
                </c:pt>
              </c:strCache>
            </c:strRef>
          </c:cat>
          <c:val>
            <c:numRef>
              <c:f>PD!$G$5:$G$14</c:f>
              <c:numCache>
                <c:formatCode>#,##0_ ;\-#,##0\ </c:formatCode>
                <c:ptCount val="10"/>
                <c:pt idx="0">
                  <c:v>418.67034208774567</c:v>
                </c:pt>
                <c:pt idx="1">
                  <c:v>514.0442920923233</c:v>
                </c:pt>
                <c:pt idx="2">
                  <c:v>665.20531457662582</c:v>
                </c:pt>
                <c:pt idx="3">
                  <c:v>353.78090250492096</c:v>
                </c:pt>
                <c:pt idx="4">
                  <c:v>390.92875152826309</c:v>
                </c:pt>
                <c:pt idx="5">
                  <c:v>1113.6803488731384</c:v>
                </c:pt>
                <c:pt idx="6">
                  <c:v>569.4051485657692</c:v>
                </c:pt>
                <c:pt idx="7">
                  <c:v>514.89457726478577</c:v>
                </c:pt>
                <c:pt idx="8">
                  <c:v>340.37316232919693</c:v>
                </c:pt>
                <c:pt idx="9">
                  <c:v>265.28952240943909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3F-47D5-B726-34976A60AC14}"/>
            </c:ext>
          </c:extLst>
        </c:ser>
        <c:ser>
          <c:idx val="2"/>
          <c:order val="1"/>
          <c:tx>
            <c:strRef>
              <c:f>PD!$F$4</c:f>
              <c:strCache>
                <c:ptCount val="1"/>
                <c:pt idx="0">
                  <c:v>3: Proportional Universal NRT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PD!$B$5:$B$14</c:f>
              <c:strCache>
                <c:ptCount val="10"/>
                <c:pt idx="0">
                  <c:v>S1</c:v>
                </c:pt>
                <c:pt idx="1">
                  <c:v>S2</c:v>
                </c:pt>
                <c:pt idx="2">
                  <c:v>S3</c:v>
                </c:pt>
                <c:pt idx="3">
                  <c:v>S4</c:v>
                </c:pt>
                <c:pt idx="4">
                  <c:v>S5</c:v>
                </c:pt>
                <c:pt idx="5">
                  <c:v>N1</c:v>
                </c:pt>
                <c:pt idx="6">
                  <c:v>N2</c:v>
                </c:pt>
                <c:pt idx="7">
                  <c:v>N3</c:v>
                </c:pt>
                <c:pt idx="8">
                  <c:v>N4</c:v>
                </c:pt>
                <c:pt idx="9">
                  <c:v>N5</c:v>
                </c:pt>
              </c:strCache>
            </c:strRef>
          </c:cat>
          <c:val>
            <c:numRef>
              <c:f>PD!$H$5:$H$14</c:f>
              <c:numCache>
                <c:formatCode>#,##0_ ;\-#,##0\ </c:formatCode>
                <c:ptCount val="10"/>
                <c:pt idx="0">
                  <c:v>485.35670173168182</c:v>
                </c:pt>
                <c:pt idx="1">
                  <c:v>470.68288958072662</c:v>
                </c:pt>
                <c:pt idx="2">
                  <c:v>505.46125483512878</c:v>
                </c:pt>
                <c:pt idx="3">
                  <c:v>223.32003426551819</c:v>
                </c:pt>
                <c:pt idx="4">
                  <c:v>269.89646804332733</c:v>
                </c:pt>
                <c:pt idx="5">
                  <c:v>1489.6015191674232</c:v>
                </c:pt>
                <c:pt idx="6">
                  <c:v>626.24619871377945</c:v>
                </c:pt>
                <c:pt idx="7">
                  <c:v>454.95366877317429</c:v>
                </c:pt>
                <c:pt idx="8">
                  <c:v>241.37276196479797</c:v>
                </c:pt>
                <c:pt idx="9">
                  <c:v>187.85249853134155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3F-47D5-B726-34976A60A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6806152"/>
        <c:axId val="454177688"/>
      </c:barChart>
      <c:catAx>
        <c:axId val="4168061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100" b="1"/>
                  <a:t>10</a:t>
                </a:r>
                <a:r>
                  <a:rPr lang="en-GB" sz="1100" b="1" baseline="0"/>
                  <a:t> Social Subgroups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4177688"/>
        <c:crosses val="autoZero"/>
        <c:auto val="1"/>
        <c:lblAlgn val="ctr"/>
        <c:lblOffset val="100"/>
        <c:noMultiLvlLbl val="0"/>
      </c:catAx>
      <c:valAx>
        <c:axId val="454177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 HALY difference from No NRT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6806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Figure 1:</a:t>
            </a:r>
            <a:r>
              <a:rPr lang="en-GB" b="1" baseline="0"/>
              <a:t> Second </a:t>
            </a:r>
            <a:r>
              <a:rPr lang="en-GB" b="1"/>
              <a:t>order Generalized concentration curves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SOGCD!$E$4</c:f>
              <c:strCache>
                <c:ptCount val="1"/>
                <c:pt idx="0">
                  <c:v>1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10"/>
            <c:spPr>
              <a:noFill/>
              <a:ln w="12700">
                <a:solidFill>
                  <a:schemeClr val="accent1"/>
                </a:solidFill>
              </a:ln>
              <a:effectLst/>
            </c:spPr>
          </c:marker>
          <c:xVal>
            <c:numRef>
              <c:f>SOGCD!$C$5:$C$10</c:f>
              <c:numCache>
                <c:formatCode>General</c:formatCode>
                <c:ptCount val="6"/>
                <c:pt idx="0">
                  <c:v>0</c:v>
                </c:pt>
                <c:pt idx="1">
                  <c:v>0.20335871345020987</c:v>
                </c:pt>
                <c:pt idx="2">
                  <c:v>0.40930096216319634</c:v>
                </c:pt>
                <c:pt idx="3">
                  <c:v>0.6099650454574429</c:v>
                </c:pt>
                <c:pt idx="4">
                  <c:v>0.807111781202697</c:v>
                </c:pt>
                <c:pt idx="5">
                  <c:v>1</c:v>
                </c:pt>
              </c:numCache>
            </c:numRef>
          </c:xVal>
          <c:yVal>
            <c:numRef>
              <c:f>SOGCD!$E$5:$E$10</c:f>
              <c:numCache>
                <c:formatCode>General</c:formatCode>
                <c:ptCount val="6"/>
                <c:pt idx="0">
                  <c:v>0</c:v>
                </c:pt>
                <c:pt idx="1">
                  <c:v>2.6195873421621725</c:v>
                </c:pt>
                <c:pt idx="2">
                  <c:v>8.1895379377578301</c:v>
                </c:pt>
                <c:pt idx="3">
                  <c:v>16.470214353253272</c:v>
                </c:pt>
                <c:pt idx="4">
                  <c:v>27.494529631189394</c:v>
                </c:pt>
                <c:pt idx="5">
                  <c:v>41.117491023575155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9D4-4252-8C18-AD4CED5B6925}"/>
            </c:ext>
          </c:extLst>
        </c:ser>
        <c:ser>
          <c:idx val="2"/>
          <c:order val="1"/>
          <c:tx>
            <c:strRef>
              <c:f>SOGCD!$F$4</c:f>
              <c:strCache>
                <c:ptCount val="1"/>
                <c:pt idx="0">
                  <c:v>2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10"/>
            <c:spPr>
              <a:noFill/>
              <a:ln w="12700">
                <a:solidFill>
                  <a:schemeClr val="accent2"/>
                </a:solidFill>
              </a:ln>
              <a:effectLst/>
            </c:spPr>
          </c:marker>
          <c:xVal>
            <c:numRef>
              <c:f>SOGCD!$C$5:$C$10</c:f>
              <c:numCache>
                <c:formatCode>General</c:formatCode>
                <c:ptCount val="6"/>
                <c:pt idx="0">
                  <c:v>0</c:v>
                </c:pt>
                <c:pt idx="1">
                  <c:v>0.20335871345020987</c:v>
                </c:pt>
                <c:pt idx="2">
                  <c:v>0.40930096216319634</c:v>
                </c:pt>
                <c:pt idx="3">
                  <c:v>0.6099650454574429</c:v>
                </c:pt>
                <c:pt idx="4">
                  <c:v>0.807111781202697</c:v>
                </c:pt>
                <c:pt idx="5">
                  <c:v>1</c:v>
                </c:pt>
              </c:numCache>
            </c:numRef>
          </c:xVal>
          <c:yVal>
            <c:numRef>
              <c:f>SOGCD!$F$5:$F$10</c:f>
              <c:numCache>
                <c:formatCode>General</c:formatCode>
                <c:ptCount val="6"/>
                <c:pt idx="0">
                  <c:v>0</c:v>
                </c:pt>
                <c:pt idx="1">
                  <c:v>2.6195929804426843</c:v>
                </c:pt>
                <c:pt idx="2">
                  <c:v>8.1895533231453186</c:v>
                </c:pt>
                <c:pt idx="3">
                  <c:v>16.470243520573803</c:v>
                </c:pt>
                <c:pt idx="4">
                  <c:v>27.494574814982997</c:v>
                </c:pt>
                <c:pt idx="5">
                  <c:v>41.117554168107453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9D4-4252-8C18-AD4CED5B6925}"/>
            </c:ext>
          </c:extLst>
        </c:ser>
        <c:ser>
          <c:idx val="0"/>
          <c:order val="2"/>
          <c:tx>
            <c:strRef>
              <c:f>SOGCD!$G$4</c:f>
              <c:strCache>
                <c:ptCount val="1"/>
                <c:pt idx="0">
                  <c:v>3</c:v>
                </c:pt>
              </c:strCache>
            </c:strRef>
          </c:tx>
          <c:spPr>
            <a:ln w="12700" cap="rnd">
              <a:solidFill>
                <a:schemeClr val="accent3"/>
              </a:solidFill>
              <a:round/>
            </a:ln>
            <a:effectLst/>
          </c:spPr>
          <c:marker>
            <c:symbol val="plus"/>
            <c:size val="10"/>
            <c:spPr>
              <a:noFill/>
              <a:ln w="12700">
                <a:solidFill>
                  <a:schemeClr val="accent3"/>
                </a:solidFill>
              </a:ln>
              <a:effectLst/>
            </c:spPr>
          </c:marker>
          <c:xVal>
            <c:numRef>
              <c:f>SOGCD!$C$5:$C$10</c:f>
              <c:numCache>
                <c:formatCode>General</c:formatCode>
                <c:ptCount val="6"/>
                <c:pt idx="0">
                  <c:v>0</c:v>
                </c:pt>
                <c:pt idx="1">
                  <c:v>0.20335871345020987</c:v>
                </c:pt>
                <c:pt idx="2">
                  <c:v>0.40930096216319634</c:v>
                </c:pt>
                <c:pt idx="3">
                  <c:v>0.6099650454574429</c:v>
                </c:pt>
                <c:pt idx="4">
                  <c:v>0.807111781202697</c:v>
                </c:pt>
                <c:pt idx="5">
                  <c:v>1</c:v>
                </c:pt>
              </c:numCache>
            </c:numRef>
          </c:xVal>
          <c:yVal>
            <c:numRef>
              <c:f>SOGCD!$G$5:$G$10</c:f>
              <c:numCache>
                <c:formatCode>General</c:formatCode>
                <c:ptCount val="6"/>
                <c:pt idx="0">
                  <c:v>0</c:v>
                </c:pt>
                <c:pt idx="1">
                  <c:v>2.619594609015977</c:v>
                </c:pt>
                <c:pt idx="2">
                  <c:v>8.1895566512102693</c:v>
                </c:pt>
                <c:pt idx="3">
                  <c:v>16.470247706954144</c:v>
                </c:pt>
                <c:pt idx="4">
                  <c:v>27.49457902612237</c:v>
                </c:pt>
                <c:pt idx="5">
                  <c:v>41.117557710803595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9D4-4252-8C18-AD4CED5B6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3879040"/>
        <c:axId val="453875120"/>
      </c:scatterChart>
      <c:valAx>
        <c:axId val="453879040"/>
        <c:scaling>
          <c:orientation val="minMax"/>
          <c:max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100" b="1"/>
                  <a:t>Cumulative population share ranked by SES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3875120"/>
        <c:crosses val="autoZero"/>
        <c:crossBetween val="midCat"/>
      </c:valAx>
      <c:valAx>
        <c:axId val="453875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38790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Figure 2: Deviation from 1: No NRT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SOGCD!$F$4</c:f>
              <c:strCache>
                <c:ptCount val="1"/>
                <c:pt idx="0">
                  <c:v>2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10"/>
            <c:spPr>
              <a:noFill/>
              <a:ln w="12700">
                <a:solidFill>
                  <a:schemeClr val="accent2"/>
                </a:solidFill>
              </a:ln>
              <a:effectLst/>
            </c:spPr>
          </c:marker>
          <c:xVal>
            <c:numRef>
              <c:f>SOGCD!$C$5:$C$10</c:f>
              <c:numCache>
                <c:formatCode>General</c:formatCode>
                <c:ptCount val="6"/>
                <c:pt idx="0">
                  <c:v>0</c:v>
                </c:pt>
                <c:pt idx="1">
                  <c:v>0.20335871345020987</c:v>
                </c:pt>
                <c:pt idx="2">
                  <c:v>0.40930096216319634</c:v>
                </c:pt>
                <c:pt idx="3">
                  <c:v>0.6099650454574429</c:v>
                </c:pt>
                <c:pt idx="4">
                  <c:v>0.807111781202697</c:v>
                </c:pt>
                <c:pt idx="5">
                  <c:v>1</c:v>
                </c:pt>
              </c:numCache>
            </c:numRef>
          </c:xVal>
          <c:yVal>
            <c:numRef>
              <c:f>SOGCD!$H$5:$H$10</c:f>
              <c:numCache>
                <c:formatCode>0.0000000</c:formatCode>
                <c:ptCount val="6"/>
                <c:pt idx="0" formatCode="General">
                  <c:v>0</c:v>
                </c:pt>
                <c:pt idx="1">
                  <c:v>5.6382805118104784E-6</c:v>
                </c:pt>
                <c:pt idx="2">
                  <c:v>1.538538748846463E-5</c:v>
                </c:pt>
                <c:pt idx="3">
                  <c:v>2.9167320530376628E-5</c:v>
                </c:pt>
                <c:pt idx="4">
                  <c:v>4.518379360263225E-5</c:v>
                </c:pt>
                <c:pt idx="5">
                  <c:v>6.3144532298053946E-5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62B-43B1-ACFB-4D71EE55603D}"/>
            </c:ext>
          </c:extLst>
        </c:ser>
        <c:ser>
          <c:idx val="2"/>
          <c:order val="1"/>
          <c:tx>
            <c:strRef>
              <c:f>SOGCD!$G$4</c:f>
              <c:strCache>
                <c:ptCount val="1"/>
                <c:pt idx="0">
                  <c:v>3</c:v>
                </c:pt>
              </c:strCache>
            </c:strRef>
          </c:tx>
          <c:spPr>
            <a:ln w="12700" cap="rnd">
              <a:solidFill>
                <a:schemeClr val="accent3"/>
              </a:solidFill>
              <a:round/>
            </a:ln>
            <a:effectLst/>
          </c:spPr>
          <c:marker>
            <c:symbol val="plus"/>
            <c:size val="10"/>
            <c:spPr>
              <a:noFill/>
              <a:ln w="12700">
                <a:solidFill>
                  <a:schemeClr val="accent3"/>
                </a:solidFill>
              </a:ln>
              <a:effectLst/>
            </c:spPr>
          </c:marker>
          <c:xVal>
            <c:numRef>
              <c:f>SOGCD!$C$5:$C$10</c:f>
              <c:numCache>
                <c:formatCode>General</c:formatCode>
                <c:ptCount val="6"/>
                <c:pt idx="0">
                  <c:v>0</c:v>
                </c:pt>
                <c:pt idx="1">
                  <c:v>0.20335871345020987</c:v>
                </c:pt>
                <c:pt idx="2">
                  <c:v>0.40930096216319634</c:v>
                </c:pt>
                <c:pt idx="3">
                  <c:v>0.6099650454574429</c:v>
                </c:pt>
                <c:pt idx="4">
                  <c:v>0.807111781202697</c:v>
                </c:pt>
                <c:pt idx="5">
                  <c:v>1</c:v>
                </c:pt>
              </c:numCache>
            </c:numRef>
          </c:xVal>
          <c:yVal>
            <c:numRef>
              <c:f>SOGCD!$I$5:$I$10</c:f>
              <c:numCache>
                <c:formatCode>0.0000000</c:formatCode>
                <c:ptCount val="6"/>
                <c:pt idx="0" formatCode="General">
                  <c:v>0</c:v>
                </c:pt>
                <c:pt idx="1">
                  <c:v>7.2668538044773356E-6</c:v>
                </c:pt>
                <c:pt idx="2">
                  <c:v>1.8713452439200751E-5</c:v>
                </c:pt>
                <c:pt idx="3">
                  <c:v>3.3353700871430192E-5</c:v>
                </c:pt>
                <c:pt idx="4">
                  <c:v>4.9394932975843631E-5</c:v>
                </c:pt>
                <c:pt idx="5">
                  <c:v>6.6687228439832325E-5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62B-43B1-ACFB-4D71EE556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3877080"/>
        <c:axId val="453877472"/>
      </c:scatterChart>
      <c:valAx>
        <c:axId val="453877080"/>
        <c:scaling>
          <c:orientation val="minMax"/>
          <c:max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100" b="1"/>
                  <a:t>Cumulative population</a:t>
                </a:r>
                <a:r>
                  <a:rPr lang="en-GB" sz="1100" b="1" baseline="0"/>
                  <a:t> shared ranked by SES</a:t>
                </a:r>
                <a:endParaRPr lang="en-GB" sz="11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3877472"/>
        <c:crosses val="autoZero"/>
        <c:crossBetween val="midCat"/>
      </c:valAx>
      <c:valAx>
        <c:axId val="453877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38770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Figure 3:  Incremental</a:t>
            </a:r>
            <a:r>
              <a:rPr lang="en-GB" b="1" baseline="0"/>
              <a:t> NHB in population total HALYs c</a:t>
            </a:r>
            <a:r>
              <a:rPr lang="en-GB" b="1"/>
              <a:t>ompared</a:t>
            </a:r>
            <a:r>
              <a:rPr lang="en-GB" b="1" baseline="0"/>
              <a:t> with 2</a:t>
            </a:r>
            <a:r>
              <a:rPr lang="en-GB" b="1"/>
              <a:t>: Universal NRT</a:t>
            </a:r>
          </a:p>
          <a:p>
            <a:pPr>
              <a:defRPr b="1"/>
            </a:pPr>
            <a:r>
              <a:rPr lang="en-GB" b="1"/>
              <a:t>(Is</a:t>
            </a:r>
            <a:r>
              <a:rPr lang="en-GB" b="1" baseline="0"/>
              <a:t> there Pareto dominance between 3 and 2?)</a:t>
            </a:r>
            <a:endParaRPr lang="en-GB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PD!$F$4</c:f>
              <c:strCache>
                <c:ptCount val="1"/>
                <c:pt idx="0">
                  <c:v>3: Proportional Universal NRT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PD!$B$5:$B$14</c:f>
              <c:strCache>
                <c:ptCount val="10"/>
                <c:pt idx="0">
                  <c:v>S1</c:v>
                </c:pt>
                <c:pt idx="1">
                  <c:v>S2</c:v>
                </c:pt>
                <c:pt idx="2">
                  <c:v>S3</c:v>
                </c:pt>
                <c:pt idx="3">
                  <c:v>S4</c:v>
                </c:pt>
                <c:pt idx="4">
                  <c:v>S5</c:v>
                </c:pt>
                <c:pt idx="5">
                  <c:v>N1</c:v>
                </c:pt>
                <c:pt idx="6">
                  <c:v>N2</c:v>
                </c:pt>
                <c:pt idx="7">
                  <c:v>N3</c:v>
                </c:pt>
                <c:pt idx="8">
                  <c:v>N4</c:v>
                </c:pt>
                <c:pt idx="9">
                  <c:v>N5</c:v>
                </c:pt>
              </c:strCache>
            </c:strRef>
          </c:cat>
          <c:val>
            <c:numRef>
              <c:f>PD!$I$5:$I$14</c:f>
              <c:numCache>
                <c:formatCode>#,##0_ ;\-#,##0\ 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1-4275-4538-A3D9-5913856B8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4176512"/>
        <c:axId val="454176120"/>
      </c:barChart>
      <c:catAx>
        <c:axId val="4541765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100" b="1"/>
                  <a:t>10 Social Subgroups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4176120"/>
        <c:crosses val="autoZero"/>
        <c:auto val="1"/>
        <c:lblAlgn val="ctr"/>
        <c:lblOffset val="100"/>
        <c:noMultiLvlLbl val="0"/>
      </c:catAx>
      <c:valAx>
        <c:axId val="454176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 HALY difference from Universal NRT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4176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Figure 1: FOSD</a:t>
            </a:r>
            <a:endParaRPr lang="en-GB" b="1" baseline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FOSD!$C$18</c:f>
              <c:strCache>
                <c:ptCount val="1"/>
                <c:pt idx="0">
                  <c:v>1 No NRT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10"/>
            <c:spPr>
              <a:noFill/>
              <a:ln w="12700">
                <a:solidFill>
                  <a:schemeClr val="accent1"/>
                </a:solidFill>
              </a:ln>
              <a:effectLst/>
            </c:spPr>
          </c:marker>
          <c:xVal>
            <c:numRef>
              <c:f>FOSD!$C$19:$C$29</c:f>
              <c:numCache>
                <c:formatCode>General</c:formatCode>
                <c:ptCount val="11"/>
              </c:numCache>
            </c:numRef>
          </c:xVal>
          <c:yVal>
            <c:numRef>
              <c:f>FOSD!$G$19:$G$29</c:f>
              <c:numCache>
                <c:formatCode>General</c:formatCode>
                <c:ptCount val="1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81B-41F0-AC6E-C23B8231E24E}"/>
            </c:ext>
          </c:extLst>
        </c:ser>
        <c:ser>
          <c:idx val="1"/>
          <c:order val="1"/>
          <c:tx>
            <c:strRef>
              <c:f>FOSD!$D$18</c:f>
              <c:strCache>
                <c:ptCount val="1"/>
                <c:pt idx="0">
                  <c:v>2 Universal NRT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10"/>
            <c:spPr>
              <a:noFill/>
              <a:ln w="12700">
                <a:solidFill>
                  <a:schemeClr val="accent2"/>
                </a:solidFill>
              </a:ln>
              <a:effectLst/>
            </c:spPr>
          </c:marker>
          <c:xVal>
            <c:numRef>
              <c:f>FOSD!$D$19:$D$29</c:f>
              <c:numCache>
                <c:formatCode>General</c:formatCode>
                <c:ptCount val="11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</c:numCache>
            </c:numRef>
          </c:xVal>
          <c:yVal>
            <c:numRef>
              <c:f>FOSD!$G$19:$G$29</c:f>
              <c:numCache>
                <c:formatCode>General</c:formatCode>
                <c:ptCount val="1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81B-41F0-AC6E-C23B8231E24E}"/>
            </c:ext>
          </c:extLst>
        </c:ser>
        <c:ser>
          <c:idx val="2"/>
          <c:order val="2"/>
          <c:tx>
            <c:strRef>
              <c:f>FOSD!$E$18</c:f>
              <c:strCache>
                <c:ptCount val="1"/>
                <c:pt idx="0">
                  <c:v>3 Proportional Universal NRT</c:v>
                </c:pt>
              </c:strCache>
            </c:strRef>
          </c:tx>
          <c:spPr>
            <a:ln w="12700" cap="rnd">
              <a:solidFill>
                <a:schemeClr val="accent3"/>
              </a:solidFill>
              <a:round/>
            </a:ln>
            <a:effectLst/>
          </c:spPr>
          <c:marker>
            <c:symbol val="plus"/>
            <c:size val="10"/>
            <c:spPr>
              <a:noFill/>
              <a:ln w="12700">
                <a:solidFill>
                  <a:schemeClr val="accent3"/>
                </a:solidFill>
              </a:ln>
              <a:effectLst/>
            </c:spPr>
          </c:marker>
          <c:xVal>
            <c:numRef>
              <c:f>FOSD!$E$19:$E$29</c:f>
              <c:numCache>
                <c:formatCode>General</c:formatCode>
                <c:ptCount val="11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</c:numCache>
            </c:numRef>
          </c:xVal>
          <c:yVal>
            <c:numRef>
              <c:f>FOSD!$G$19:$G$29</c:f>
              <c:numCache>
                <c:formatCode>General</c:formatCode>
                <c:ptCount val="1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81B-41F0-AC6E-C23B8231E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4175728"/>
        <c:axId val="454174944"/>
      </c:scatterChart>
      <c:valAx>
        <c:axId val="454175728"/>
        <c:scaling>
          <c:orientation val="minMax"/>
          <c:max val="8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/>
                  <a:t>HALE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1800000" spcFirstLastPara="1" vertOverflow="ellipsis" wrap="square" anchor="ctr" anchorCtr="1"/>
          <a:lstStyle/>
          <a:p>
            <a:pPr>
              <a:defRPr sz="900" b="1" i="0" u="none" strike="noStrike" kern="120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4174944"/>
        <c:crosses val="autoZero"/>
        <c:crossBetween val="midCat"/>
      </c:valAx>
      <c:valAx>
        <c:axId val="454174944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/>
                  <a:t>Cumulative population share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41757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Figure 3: Deviation from 1: No</a:t>
            </a:r>
            <a:r>
              <a:rPr lang="en-GB" b="1" baseline="0"/>
              <a:t> NRT</a:t>
            </a:r>
            <a:endParaRPr lang="en-GB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FOSD!$D$18</c:f>
              <c:strCache>
                <c:ptCount val="1"/>
                <c:pt idx="0">
                  <c:v>2 Universal NRT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10"/>
            <c:spPr>
              <a:noFill/>
              <a:ln w="12700">
                <a:solidFill>
                  <a:schemeClr val="accent2"/>
                </a:solidFill>
              </a:ln>
              <a:effectLst/>
            </c:spPr>
          </c:marker>
          <c:xVal>
            <c:numRef>
              <c:f>FOSD!$G$19:$G$29</c:f>
              <c:numCache>
                <c:formatCode>General</c:formatCode>
                <c:ptCount val="11"/>
                <c:pt idx="0">
                  <c:v>0</c:v>
                </c:pt>
              </c:numCache>
            </c:numRef>
          </c:xVal>
          <c:yVal>
            <c:numRef>
              <c:f>FOSD!$C$42:$C$52</c:f>
              <c:numCache>
                <c:formatCode>0.000000</c:formatCode>
                <c:ptCount val="11"/>
                <c:pt idx="0" formatCode="General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81B-41F0-AC6E-C23B8231E24E}"/>
            </c:ext>
          </c:extLst>
        </c:ser>
        <c:ser>
          <c:idx val="2"/>
          <c:order val="1"/>
          <c:tx>
            <c:strRef>
              <c:f>FOSD!$E$18</c:f>
              <c:strCache>
                <c:ptCount val="1"/>
                <c:pt idx="0">
                  <c:v>3 Proportional Universal NRT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plus"/>
            <c:size val="10"/>
            <c:spPr>
              <a:noFill/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FOSD!$G$19:$G$29</c:f>
              <c:numCache>
                <c:formatCode>General</c:formatCode>
                <c:ptCount val="11"/>
                <c:pt idx="0">
                  <c:v>0</c:v>
                </c:pt>
              </c:numCache>
            </c:numRef>
          </c:xVal>
          <c:yVal>
            <c:numRef>
              <c:f>FOSD!$D$42:$D$52</c:f>
              <c:numCache>
                <c:formatCode>0.000000</c:formatCode>
                <c:ptCount val="11"/>
                <c:pt idx="0" formatCode="General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81B-41F0-AC6E-C23B8231E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4179256"/>
        <c:axId val="454182000"/>
      </c:scatterChart>
      <c:valAx>
        <c:axId val="454179256"/>
        <c:scaling>
          <c:orientation val="minMax"/>
          <c:max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/>
                  <a:t>Population</a:t>
                </a:r>
                <a:r>
                  <a:rPr lang="en-GB" b="1" baseline="0"/>
                  <a:t> share</a:t>
                </a:r>
                <a:endParaRPr lang="en-GB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1800000" spcFirstLastPara="1" vertOverflow="ellipsis" wrap="square" anchor="ctr" anchorCtr="1"/>
          <a:lstStyle/>
          <a:p>
            <a:pPr>
              <a:defRPr sz="900" b="1" i="0" u="none" strike="noStrike" kern="120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4182000"/>
        <c:crosses val="autoZero"/>
        <c:crossBetween val="midCat"/>
        <c:majorUnit val="0.1"/>
      </c:valAx>
      <c:valAx>
        <c:axId val="454182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41792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Figure 2: Inverse FOSD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FOSD!$C$18</c:f>
              <c:strCache>
                <c:ptCount val="1"/>
                <c:pt idx="0">
                  <c:v>1 No NRT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10"/>
            <c:spPr>
              <a:noFill/>
              <a:ln w="12700">
                <a:solidFill>
                  <a:schemeClr val="accent1"/>
                </a:solidFill>
              </a:ln>
              <a:effectLst/>
            </c:spPr>
          </c:marker>
          <c:xVal>
            <c:numRef>
              <c:f>FOSD!$G$19:$G$29</c:f>
              <c:numCache>
                <c:formatCode>General</c:formatCode>
                <c:ptCount val="11"/>
                <c:pt idx="0">
                  <c:v>0</c:v>
                </c:pt>
              </c:numCache>
            </c:numRef>
          </c:xVal>
          <c:yVal>
            <c:numRef>
              <c:f>FOSD!$C$19:$C$29</c:f>
              <c:numCache>
                <c:formatCode>General</c:formatCode>
                <c:ptCount val="1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81B-41F0-AC6E-C23B8231E24E}"/>
            </c:ext>
          </c:extLst>
        </c:ser>
        <c:ser>
          <c:idx val="1"/>
          <c:order val="1"/>
          <c:tx>
            <c:strRef>
              <c:f>FOSD!$D$18</c:f>
              <c:strCache>
                <c:ptCount val="1"/>
                <c:pt idx="0">
                  <c:v>2 Universal NRT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10"/>
            <c:spPr>
              <a:noFill/>
              <a:ln w="12700">
                <a:solidFill>
                  <a:schemeClr val="accent2"/>
                </a:solidFill>
              </a:ln>
              <a:effectLst/>
            </c:spPr>
          </c:marker>
          <c:xVal>
            <c:numRef>
              <c:f>FOSD!$G$19:$G$29</c:f>
              <c:numCache>
                <c:formatCode>General</c:formatCode>
                <c:ptCount val="11"/>
                <c:pt idx="0">
                  <c:v>0</c:v>
                </c:pt>
              </c:numCache>
            </c:numRef>
          </c:xVal>
          <c:yVal>
            <c:numRef>
              <c:f>FOSD!$D$19:$D$29</c:f>
              <c:numCache>
                <c:formatCode>General</c:formatCode>
                <c:ptCount val="11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81B-41F0-AC6E-C23B8231E24E}"/>
            </c:ext>
          </c:extLst>
        </c:ser>
        <c:ser>
          <c:idx val="2"/>
          <c:order val="2"/>
          <c:tx>
            <c:strRef>
              <c:f>FOSD!$E$18</c:f>
              <c:strCache>
                <c:ptCount val="1"/>
                <c:pt idx="0">
                  <c:v>3 Proportional Universal NRT</c:v>
                </c:pt>
              </c:strCache>
            </c:strRef>
          </c:tx>
          <c:spPr>
            <a:ln w="12700" cap="rnd">
              <a:solidFill>
                <a:schemeClr val="accent3"/>
              </a:solidFill>
              <a:round/>
            </a:ln>
            <a:effectLst/>
          </c:spPr>
          <c:marker>
            <c:symbol val="plus"/>
            <c:size val="10"/>
            <c:spPr>
              <a:noFill/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FOSD!$G$19:$G$29</c:f>
              <c:numCache>
                <c:formatCode>General</c:formatCode>
                <c:ptCount val="11"/>
                <c:pt idx="0">
                  <c:v>0</c:v>
                </c:pt>
              </c:numCache>
            </c:numRef>
          </c:xVal>
          <c:yVal>
            <c:numRef>
              <c:f>FOSD!$E$19:$E$29</c:f>
              <c:numCache>
                <c:formatCode>General</c:formatCode>
                <c:ptCount val="11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81B-41F0-AC6E-C23B8231E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4179648"/>
        <c:axId val="454178080"/>
      </c:scatterChart>
      <c:valAx>
        <c:axId val="454179648"/>
        <c:scaling>
          <c:orientation val="minMax"/>
          <c:max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/>
                  <a:t>Cumulative</a:t>
                </a:r>
                <a:r>
                  <a:rPr lang="en-GB" b="1" baseline="0"/>
                  <a:t> p</a:t>
                </a:r>
                <a:r>
                  <a:rPr lang="en-GB" b="1"/>
                  <a:t>opulation share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1800000" spcFirstLastPara="1" vertOverflow="ellipsis" wrap="square" anchor="ctr" anchorCtr="1"/>
          <a:lstStyle/>
          <a:p>
            <a:pPr>
              <a:defRPr sz="900" b="1" i="0" u="none" strike="noStrike" kern="120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4178080"/>
        <c:crosses val="autoZero"/>
        <c:crossBetween val="midCat"/>
        <c:majorUnit val="0.1"/>
      </c:valAx>
      <c:valAx>
        <c:axId val="454178080"/>
        <c:scaling>
          <c:orientation val="minMax"/>
          <c:max val="8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/>
                  <a:t>HALE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41796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Figure 1: Lorenz curves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LD!$C$4</c:f>
              <c:strCache>
                <c:ptCount val="1"/>
                <c:pt idx="0">
                  <c:v>Line of equality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LD!$C$5:$C$15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xVal>
          <c:yVal>
            <c:numRef>
              <c:f>LD!$C$5:$C$15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C29-4504-AA47-5FE53BB7ADB0}"/>
            </c:ext>
          </c:extLst>
        </c:ser>
        <c:ser>
          <c:idx val="1"/>
          <c:order val="1"/>
          <c:tx>
            <c:strRef>
              <c:f>LD!$E$4</c:f>
              <c:strCache>
                <c:ptCount val="1"/>
                <c:pt idx="0">
                  <c:v>1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10"/>
            <c:spPr>
              <a:noFill/>
              <a:ln w="12700">
                <a:solidFill>
                  <a:schemeClr val="accent1"/>
                </a:solidFill>
              </a:ln>
              <a:effectLst/>
            </c:spPr>
          </c:marker>
          <c:xVal>
            <c:numRef>
              <c:f>LD!$C$5:$C$15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xVal>
          <c:yVal>
            <c:numRef>
              <c:f>LD!$E$5:$E$15</c:f>
              <c:numCache>
                <c:formatCode>General</c:formatCode>
                <c:ptCount val="1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C29-4504-AA47-5FE53BB7ADB0}"/>
            </c:ext>
          </c:extLst>
        </c:ser>
        <c:ser>
          <c:idx val="2"/>
          <c:order val="2"/>
          <c:tx>
            <c:strRef>
              <c:f>LD!$F$4</c:f>
              <c:strCache>
                <c:ptCount val="1"/>
                <c:pt idx="0">
                  <c:v>2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10"/>
            <c:spPr>
              <a:noFill/>
              <a:ln w="12700">
                <a:solidFill>
                  <a:schemeClr val="accent2"/>
                </a:solidFill>
              </a:ln>
              <a:effectLst/>
            </c:spPr>
          </c:marker>
          <c:xVal>
            <c:numRef>
              <c:f>LD!$C$5:$C$15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xVal>
          <c:yVal>
            <c:numRef>
              <c:f>LD!$F$5:$F$15</c:f>
              <c:numCache>
                <c:formatCode>General</c:formatCode>
                <c:ptCount val="11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C29-4504-AA47-5FE53BB7ADB0}"/>
            </c:ext>
          </c:extLst>
        </c:ser>
        <c:ser>
          <c:idx val="3"/>
          <c:order val="3"/>
          <c:tx>
            <c:strRef>
              <c:f>LD!$G$4</c:f>
              <c:strCache>
                <c:ptCount val="1"/>
                <c:pt idx="0">
                  <c:v>3</c:v>
                </c:pt>
              </c:strCache>
            </c:strRef>
          </c:tx>
          <c:spPr>
            <a:ln w="12700" cap="rnd">
              <a:solidFill>
                <a:schemeClr val="accent3"/>
              </a:solidFill>
              <a:round/>
            </a:ln>
            <a:effectLst/>
          </c:spPr>
          <c:marker>
            <c:symbol val="plus"/>
            <c:size val="10"/>
            <c:spPr>
              <a:noFill/>
              <a:ln w="12700">
                <a:solidFill>
                  <a:schemeClr val="accent3"/>
                </a:solidFill>
              </a:ln>
              <a:effectLst/>
            </c:spPr>
          </c:marker>
          <c:xVal>
            <c:numRef>
              <c:f>LD!$C$5:$C$15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xVal>
          <c:yVal>
            <c:numRef>
              <c:f>LD!$G$5:$G$15</c:f>
              <c:numCache>
                <c:formatCode>General</c:formatCode>
                <c:ptCount val="11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C29-4504-AA47-5FE53BB7A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4180040"/>
        <c:axId val="454181216"/>
      </c:scatterChart>
      <c:valAx>
        <c:axId val="454180040"/>
        <c:scaling>
          <c:orientation val="minMax"/>
          <c:max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="1"/>
                  <a:t>Cumulative population share</a:t>
                </a:r>
              </a:p>
            </c:rich>
          </c:tx>
          <c:layout>
            <c:manualLayout>
              <c:xMode val="edge"/>
              <c:yMode val="edge"/>
              <c:x val="0.33442294880402096"/>
              <c:y val="0.839236217299915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1" i="0" u="none" strike="noStrike" kern="120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4181216"/>
        <c:crosses val="autoZero"/>
        <c:crossBetween val="midCat"/>
        <c:majorUnit val="0.2"/>
      </c:valAx>
      <c:valAx>
        <c:axId val="454181216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Cumulative health share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41800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Figure 2: Lorenz curve deviation from </a:t>
            </a:r>
          </a:p>
          <a:p>
            <a:pPr>
              <a:defRPr/>
            </a:pPr>
            <a:r>
              <a:rPr lang="en-GB"/>
              <a:t>1: No NRT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LD!$F$4</c:f>
              <c:strCache>
                <c:ptCount val="1"/>
                <c:pt idx="0">
                  <c:v>2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10"/>
            <c:spPr>
              <a:noFill/>
              <a:ln w="12700">
                <a:solidFill>
                  <a:schemeClr val="accent2"/>
                </a:solidFill>
              </a:ln>
              <a:effectLst/>
            </c:spPr>
          </c:marker>
          <c:xVal>
            <c:numRef>
              <c:f>LD!$C$5:$C$15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xVal>
          <c:yVal>
            <c:numRef>
              <c:f>LD!$H$5:$H$15</c:f>
              <c:numCache>
                <c:formatCode>0.00000000</c:formatCode>
                <c:ptCount val="11"/>
                <c:pt idx="0" formatCode="General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1DE-4578-8011-C79B260C8253}"/>
            </c:ext>
          </c:extLst>
        </c:ser>
        <c:ser>
          <c:idx val="3"/>
          <c:order val="1"/>
          <c:tx>
            <c:strRef>
              <c:f>LD!$G$4</c:f>
              <c:strCache>
                <c:ptCount val="1"/>
                <c:pt idx="0">
                  <c:v>3</c:v>
                </c:pt>
              </c:strCache>
            </c:strRef>
          </c:tx>
          <c:spPr>
            <a:ln w="12700" cap="rnd">
              <a:solidFill>
                <a:schemeClr val="accent3"/>
              </a:solidFill>
              <a:round/>
            </a:ln>
            <a:effectLst/>
          </c:spPr>
          <c:marker>
            <c:symbol val="plus"/>
            <c:size val="10"/>
            <c:spPr>
              <a:noFill/>
              <a:ln w="12700">
                <a:solidFill>
                  <a:schemeClr val="accent3"/>
                </a:solidFill>
              </a:ln>
              <a:effectLst/>
            </c:spPr>
          </c:marker>
          <c:xVal>
            <c:numRef>
              <c:f>LD!$C$5:$C$15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xVal>
          <c:yVal>
            <c:numRef>
              <c:f>LD!$I$5:$I$15</c:f>
              <c:numCache>
                <c:formatCode>0.00000000</c:formatCode>
                <c:ptCount val="11"/>
                <c:pt idx="0" formatCode="General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 formatCode="General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1DE-4578-8011-C79B260C8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4175336"/>
        <c:axId val="454181608"/>
      </c:scatterChart>
      <c:valAx>
        <c:axId val="454175336"/>
        <c:scaling>
          <c:orientation val="minMax"/>
          <c:max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/>
                  <a:t>Cumulative population share</a:t>
                </a:r>
              </a:p>
            </c:rich>
          </c:tx>
          <c:layout>
            <c:manualLayout>
              <c:xMode val="edge"/>
              <c:yMode val="edge"/>
              <c:x val="0.29820329835819703"/>
              <c:y val="0.833379364479460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4181608"/>
        <c:crosses val="autoZero"/>
        <c:crossBetween val="midCat"/>
      </c:valAx>
      <c:valAx>
        <c:axId val="454181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00000_ ;\-#,##0.000000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4175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Figure 1: Generalized</a:t>
            </a:r>
            <a:r>
              <a:rPr lang="en-GB" b="1" baseline="0"/>
              <a:t> Lorenz curve</a:t>
            </a:r>
            <a:endParaRPr lang="en-GB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GLD!$E$4</c:f>
              <c:strCache>
                <c:ptCount val="1"/>
                <c:pt idx="0">
                  <c:v>1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10"/>
            <c:spPr>
              <a:noFill/>
              <a:ln w="12700">
                <a:solidFill>
                  <a:schemeClr val="accent1"/>
                </a:solidFill>
              </a:ln>
              <a:effectLst/>
            </c:spPr>
          </c:marker>
          <c:xVal>
            <c:numRef>
              <c:f>GLD!$C$5:$C$15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xVal>
          <c:yVal>
            <c:numRef>
              <c:f>GLD!$E$5:$E$15</c:f>
              <c:numCache>
                <c:formatCode>General</c:formatCode>
                <c:ptCount val="1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EE0-4502-AB9E-3E08D7A0646F}"/>
            </c:ext>
          </c:extLst>
        </c:ser>
        <c:ser>
          <c:idx val="1"/>
          <c:order val="1"/>
          <c:tx>
            <c:strRef>
              <c:f>GLD!$F$4</c:f>
              <c:strCache>
                <c:ptCount val="1"/>
                <c:pt idx="0">
                  <c:v>2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10"/>
            <c:spPr>
              <a:noFill/>
              <a:ln w="12700">
                <a:solidFill>
                  <a:schemeClr val="accent2"/>
                </a:solidFill>
              </a:ln>
              <a:effectLst/>
            </c:spPr>
          </c:marker>
          <c:xVal>
            <c:numRef>
              <c:f>GLD!$C$5:$C$15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xVal>
          <c:yVal>
            <c:numRef>
              <c:f>GLD!$F$5:$F$15</c:f>
              <c:numCache>
                <c:formatCode>General</c:formatCode>
                <c:ptCount val="11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EE0-4502-AB9E-3E08D7A0646F}"/>
            </c:ext>
          </c:extLst>
        </c:ser>
        <c:ser>
          <c:idx val="2"/>
          <c:order val="2"/>
          <c:tx>
            <c:strRef>
              <c:f>GLD!$G$4</c:f>
              <c:strCache>
                <c:ptCount val="1"/>
                <c:pt idx="0">
                  <c:v>3</c:v>
                </c:pt>
              </c:strCache>
            </c:strRef>
          </c:tx>
          <c:spPr>
            <a:ln w="12700" cap="rnd">
              <a:solidFill>
                <a:schemeClr val="accent3"/>
              </a:solidFill>
              <a:round/>
            </a:ln>
            <a:effectLst/>
          </c:spPr>
          <c:marker>
            <c:symbol val="plus"/>
            <c:size val="10"/>
            <c:spPr>
              <a:noFill/>
              <a:ln w="12700">
                <a:solidFill>
                  <a:schemeClr val="accent3"/>
                </a:solidFill>
              </a:ln>
              <a:effectLst/>
            </c:spPr>
          </c:marker>
          <c:xVal>
            <c:numRef>
              <c:f>GLD!$C$5:$C$15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xVal>
          <c:yVal>
            <c:numRef>
              <c:f>GLD!$G$5:$G$15</c:f>
              <c:numCache>
                <c:formatCode>General</c:formatCode>
                <c:ptCount val="11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EE0-4502-AB9E-3E08D7A06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4747616"/>
        <c:axId val="454748792"/>
      </c:scatterChart>
      <c:valAx>
        <c:axId val="454747616"/>
        <c:scaling>
          <c:orientation val="minMax"/>
          <c:max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="1"/>
                  <a:t>Cumulative population share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1" i="0" u="none" strike="noStrike" kern="120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4748792"/>
        <c:crosses val="autoZero"/>
        <c:crossBetween val="midCat"/>
      </c:valAx>
      <c:valAx>
        <c:axId val="454748792"/>
        <c:scaling>
          <c:orientation val="minMax"/>
          <c:max val="7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47476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180975</xdr:colOff>
      <xdr:row>1</xdr:row>
      <xdr:rowOff>76200</xdr:rowOff>
    </xdr:from>
    <xdr:to>
      <xdr:col>13</xdr:col>
      <xdr:colOff>57150</xdr:colOff>
      <xdr:row>4</xdr:row>
      <xdr:rowOff>0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39336FA8-367B-4130-BA77-471E6580AB2B}"/>
            </a:ext>
          </a:extLst>
        </xdr:cNvPr>
        <xdr:cNvSpPr/>
      </xdr:nvSpPr>
      <xdr:spPr>
        <a:xfrm>
          <a:off x="4324350" y="371475"/>
          <a:ext cx="4143375" cy="495300"/>
        </a:xfrm>
        <a:prstGeom prst="roundRect">
          <a:avLst/>
        </a:prstGeom>
        <a:solidFill>
          <a:schemeClr val="bg1"/>
        </a:solidFill>
        <a:ln>
          <a:solidFill>
            <a:schemeClr val="tx2">
              <a:lumMod val="50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4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How this fits with the other training exercises</a:t>
          </a:r>
          <a:endParaRPr lang="en-GB" sz="14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581025</xdr:colOff>
      <xdr:row>5</xdr:row>
      <xdr:rowOff>47625</xdr:rowOff>
    </xdr:from>
    <xdr:to>
      <xdr:col>13</xdr:col>
      <xdr:colOff>318070</xdr:colOff>
      <xdr:row>19</xdr:row>
      <xdr:rowOff>69304</xdr:rowOff>
    </xdr:to>
    <xdr:sp macro="" textlink="">
      <xdr:nvSpPr>
        <xdr:cNvPr id="3" name="Rounded Rectangle 5">
          <a:extLst>
            <a:ext uri="{FF2B5EF4-FFF2-40B4-BE49-F238E27FC236}">
              <a16:creationId xmlns:a16="http://schemas.microsoft.com/office/drawing/2014/main" id="{4B025981-CA6E-450A-9272-74F4468A3F63}"/>
            </a:ext>
          </a:extLst>
        </xdr:cNvPr>
        <xdr:cNvSpPr/>
      </xdr:nvSpPr>
      <xdr:spPr>
        <a:xfrm>
          <a:off x="4114800" y="1104900"/>
          <a:ext cx="4613845" cy="2688679"/>
        </a:xfrm>
        <a:prstGeom prst="roundRect">
          <a:avLst/>
        </a:prstGeom>
        <a:solidFill>
          <a:schemeClr val="bg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8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Simulating Distributions</a:t>
          </a:r>
        </a:p>
      </xdr:txBody>
    </xdr:sp>
    <xdr:clientData/>
  </xdr:twoCellAnchor>
  <xdr:twoCellAnchor>
    <xdr:from>
      <xdr:col>6</xdr:col>
      <xdr:colOff>336096</xdr:colOff>
      <xdr:row>21</xdr:row>
      <xdr:rowOff>22035</xdr:rowOff>
    </xdr:from>
    <xdr:to>
      <xdr:col>12</xdr:col>
      <xdr:colOff>600858</xdr:colOff>
      <xdr:row>32</xdr:row>
      <xdr:rowOff>126678</xdr:rowOff>
    </xdr:to>
    <xdr:sp macro="" textlink="">
      <xdr:nvSpPr>
        <xdr:cNvPr id="4" name="Rounded Rectangle 5">
          <a:extLst>
            <a:ext uri="{FF2B5EF4-FFF2-40B4-BE49-F238E27FC236}">
              <a16:creationId xmlns:a16="http://schemas.microsoft.com/office/drawing/2014/main" id="{68FB960F-2BF7-4793-BDBB-BD195D44416D}"/>
            </a:ext>
          </a:extLst>
        </xdr:cNvPr>
        <xdr:cNvSpPr/>
      </xdr:nvSpPr>
      <xdr:spPr>
        <a:xfrm>
          <a:off x="4479471" y="4127310"/>
          <a:ext cx="3922362" cy="2200143"/>
        </a:xfrm>
        <a:prstGeom prst="roundRect">
          <a:avLst/>
        </a:prstGeom>
        <a:solidFill>
          <a:schemeClr val="bg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8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Evaluating Distributions</a:t>
          </a:r>
        </a:p>
      </xdr:txBody>
    </xdr:sp>
    <xdr:clientData/>
  </xdr:twoCellAnchor>
  <xdr:twoCellAnchor>
    <xdr:from>
      <xdr:col>9</xdr:col>
      <xdr:colOff>567704</xdr:colOff>
      <xdr:row>28</xdr:row>
      <xdr:rowOff>49842</xdr:rowOff>
    </xdr:from>
    <xdr:to>
      <xdr:col>12</xdr:col>
      <xdr:colOff>359206</xdr:colOff>
      <xdr:row>31</xdr:row>
      <xdr:rowOff>107627</xdr:rowOff>
    </xdr:to>
    <xdr:sp macro="" textlink="">
      <xdr:nvSpPr>
        <xdr:cNvPr id="5" name="Rounded Rectangle 5">
          <a:extLst>
            <a:ext uri="{FF2B5EF4-FFF2-40B4-BE49-F238E27FC236}">
              <a16:creationId xmlns:a16="http://schemas.microsoft.com/office/drawing/2014/main" id="{4BD4EC70-6732-41A6-9560-07F8FA15A066}"/>
            </a:ext>
          </a:extLst>
        </xdr:cNvPr>
        <xdr:cNvSpPr/>
      </xdr:nvSpPr>
      <xdr:spPr>
        <a:xfrm>
          <a:off x="6539879" y="5488617"/>
          <a:ext cx="1620302" cy="629285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lvl="0" algn="ctr">
            <a:defRPr/>
          </a:pPr>
          <a:r>
            <a:rPr lang="en-GB" sz="1200" b="1">
              <a:solidFill>
                <a:prstClr val="white"/>
              </a:solidFill>
              <a:latin typeface="Arial" panose="020B0604020202020204" pitchFamily="34" charset="0"/>
              <a:cs typeface="Arial" panose="020B0604020202020204" pitchFamily="34" charset="0"/>
            </a:rPr>
            <a:t>Ex 14: </a:t>
          </a:r>
        </a:p>
        <a:p>
          <a:pPr lvl="0" algn="ctr">
            <a:defRPr/>
          </a:pPr>
          <a:r>
            <a:rPr lang="en-GB" sz="1200" b="1">
              <a:solidFill>
                <a:prstClr val="white"/>
              </a:solidFill>
              <a:latin typeface="Arial" panose="020B0604020202020204" pitchFamily="34" charset="0"/>
              <a:cs typeface="Arial" panose="020B0604020202020204" pitchFamily="34" charset="0"/>
            </a:rPr>
            <a:t>Direct </a:t>
          </a:r>
        </a:p>
        <a:p>
          <a:pPr lvl="0" algn="ctr">
            <a:defRPr/>
          </a:pPr>
          <a:r>
            <a:rPr lang="en-GB" sz="1200" b="1">
              <a:solidFill>
                <a:prstClr val="white"/>
              </a:solidFill>
              <a:latin typeface="Arial" panose="020B0604020202020204" pitchFamily="34" charset="0"/>
              <a:cs typeface="Arial" panose="020B0604020202020204" pitchFamily="34" charset="0"/>
            </a:rPr>
            <a:t>equity weights</a:t>
          </a:r>
          <a:endParaRPr kumimoji="0" lang="en-GB" sz="1200" b="1" i="0" u="none" strike="noStrike" kern="120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590528</xdr:colOff>
      <xdr:row>28</xdr:row>
      <xdr:rowOff>57359</xdr:rowOff>
    </xdr:from>
    <xdr:to>
      <xdr:col>9</xdr:col>
      <xdr:colOff>356355</xdr:colOff>
      <xdr:row>31</xdr:row>
      <xdr:rowOff>115144</xdr:rowOff>
    </xdr:to>
    <xdr:sp macro="" textlink="">
      <xdr:nvSpPr>
        <xdr:cNvPr id="6" name="Rounded Rectangle 5">
          <a:extLst>
            <a:ext uri="{FF2B5EF4-FFF2-40B4-BE49-F238E27FC236}">
              <a16:creationId xmlns:a16="http://schemas.microsoft.com/office/drawing/2014/main" id="{4387516A-9492-4C25-9428-CC493FFC3E57}"/>
            </a:ext>
          </a:extLst>
        </xdr:cNvPr>
        <xdr:cNvSpPr/>
      </xdr:nvSpPr>
      <xdr:spPr>
        <a:xfrm>
          <a:off x="4733903" y="5496134"/>
          <a:ext cx="1594627" cy="629285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200" b="1">
              <a:solidFill>
                <a:prstClr val="white"/>
              </a:solidFill>
              <a:latin typeface="Arial" panose="020B0604020202020204" pitchFamily="34" charset="0"/>
              <a:cs typeface="Arial" panose="020B0604020202020204" pitchFamily="34" charset="0"/>
            </a:rPr>
            <a:t>Ex 13: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200" b="1">
              <a:solidFill>
                <a:prstClr val="white"/>
              </a:solidFill>
              <a:latin typeface="Arial" panose="020B0604020202020204" pitchFamily="34" charset="0"/>
              <a:cs typeface="Arial" panose="020B0604020202020204" pitchFamily="34" charset="0"/>
            </a:rPr>
            <a:t>Level-dependent </a:t>
          </a:r>
          <a:br>
            <a:rPr lang="en-GB" sz="1200" b="1">
              <a:solidFill>
                <a:prstClr val="white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GB" sz="1200" b="1">
              <a:solidFill>
                <a:prstClr val="white"/>
              </a:solidFill>
              <a:latin typeface="Arial" panose="020B0604020202020204" pitchFamily="34" charset="0"/>
              <a:cs typeface="Arial" panose="020B0604020202020204" pitchFamily="34" charset="0"/>
            </a:rPr>
            <a:t>equity weights</a:t>
          </a:r>
          <a:endParaRPr kumimoji="0" lang="en-GB" sz="1200" b="1" i="0" u="none" strike="noStrike" kern="120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271970</xdr:colOff>
      <xdr:row>7</xdr:row>
      <xdr:rowOff>161926</xdr:rowOff>
    </xdr:from>
    <xdr:to>
      <xdr:col>11</xdr:col>
      <xdr:colOff>90996</xdr:colOff>
      <xdr:row>10</xdr:row>
      <xdr:rowOff>123999</xdr:rowOff>
    </xdr:to>
    <xdr:sp macro="" textlink="">
      <xdr:nvSpPr>
        <xdr:cNvPr id="7" name="Rounded Rectangle 1">
          <a:extLst>
            <a:ext uri="{FF2B5EF4-FFF2-40B4-BE49-F238E27FC236}">
              <a16:creationId xmlns:a16="http://schemas.microsoft.com/office/drawing/2014/main" id="{F0CF07B9-8B79-445A-993C-EF5CE3C249F3}"/>
            </a:ext>
          </a:extLst>
        </xdr:cNvPr>
        <xdr:cNvSpPr/>
      </xdr:nvSpPr>
      <xdr:spPr>
        <a:xfrm>
          <a:off x="5634545" y="1600201"/>
          <a:ext cx="1647826" cy="533573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>
          <a:solidFill>
            <a:schemeClr val="tx2">
              <a:lumMod val="50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 7:</a:t>
          </a:r>
          <a:b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Baseline health</a:t>
          </a:r>
        </a:p>
      </xdr:txBody>
    </xdr:sp>
    <xdr:clientData/>
  </xdr:twoCellAnchor>
  <xdr:twoCellAnchor>
    <xdr:from>
      <xdr:col>6</xdr:col>
      <xdr:colOff>336096</xdr:colOff>
      <xdr:row>11</xdr:row>
      <xdr:rowOff>76200</xdr:rowOff>
    </xdr:from>
    <xdr:to>
      <xdr:col>9</xdr:col>
      <xdr:colOff>178931</xdr:colOff>
      <xdr:row>14</xdr:row>
      <xdr:rowOff>75573</xdr:rowOff>
    </xdr:to>
    <xdr:sp macro="" textlink="">
      <xdr:nvSpPr>
        <xdr:cNvPr id="8" name="Rounded Rectangle 2">
          <a:extLst>
            <a:ext uri="{FF2B5EF4-FFF2-40B4-BE49-F238E27FC236}">
              <a16:creationId xmlns:a16="http://schemas.microsoft.com/office/drawing/2014/main" id="{903502DF-0DA1-4CEA-A7FA-D94FF3134D30}"/>
            </a:ext>
          </a:extLst>
        </xdr:cNvPr>
        <xdr:cNvSpPr/>
      </xdr:nvSpPr>
      <xdr:spPr>
        <a:xfrm>
          <a:off x="4479471" y="2276475"/>
          <a:ext cx="1671635" cy="570873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 8: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Health benefits</a:t>
          </a:r>
        </a:p>
      </xdr:txBody>
    </xdr:sp>
    <xdr:clientData/>
  </xdr:twoCellAnchor>
  <xdr:twoCellAnchor>
    <xdr:from>
      <xdr:col>10</xdr:col>
      <xdr:colOff>197984</xdr:colOff>
      <xdr:row>11</xdr:row>
      <xdr:rowOff>66675</xdr:rowOff>
    </xdr:from>
    <xdr:to>
      <xdr:col>12</xdr:col>
      <xdr:colOff>600858</xdr:colOff>
      <xdr:row>14</xdr:row>
      <xdr:rowOff>85700</xdr:rowOff>
    </xdr:to>
    <xdr:sp macro="" textlink="">
      <xdr:nvSpPr>
        <xdr:cNvPr id="9" name="Rounded Rectangle 3">
          <a:extLst>
            <a:ext uri="{FF2B5EF4-FFF2-40B4-BE49-F238E27FC236}">
              <a16:creationId xmlns:a16="http://schemas.microsoft.com/office/drawing/2014/main" id="{7674CB37-FC23-4368-8CFA-2A2059C99F89}"/>
            </a:ext>
          </a:extLst>
        </xdr:cNvPr>
        <xdr:cNvSpPr/>
      </xdr:nvSpPr>
      <xdr:spPr>
        <a:xfrm>
          <a:off x="6779759" y="2266950"/>
          <a:ext cx="1622074" cy="590525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 9: </a:t>
          </a:r>
          <a:b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Health opportunity costs</a:t>
          </a:r>
        </a:p>
      </xdr:txBody>
    </xdr:sp>
    <xdr:clientData/>
  </xdr:twoCellAnchor>
  <xdr:twoCellAnchor>
    <xdr:from>
      <xdr:col>8</xdr:col>
      <xdr:colOff>243396</xdr:colOff>
      <xdr:row>15</xdr:row>
      <xdr:rowOff>57151</xdr:rowOff>
    </xdr:from>
    <xdr:to>
      <xdr:col>11</xdr:col>
      <xdr:colOff>110046</xdr:colOff>
      <xdr:row>18</xdr:row>
      <xdr:rowOff>73163</xdr:rowOff>
    </xdr:to>
    <xdr:sp macro="" textlink="">
      <xdr:nvSpPr>
        <xdr:cNvPr id="10" name="Rounded Rectangle 4">
          <a:extLst>
            <a:ext uri="{FF2B5EF4-FFF2-40B4-BE49-F238E27FC236}">
              <a16:creationId xmlns:a16="http://schemas.microsoft.com/office/drawing/2014/main" id="{35C14524-9D7C-4F1E-A118-D088AC7BBEDE}"/>
            </a:ext>
          </a:extLst>
        </xdr:cNvPr>
        <xdr:cNvSpPr/>
      </xdr:nvSpPr>
      <xdr:spPr>
        <a:xfrm>
          <a:off x="5605971" y="3019426"/>
          <a:ext cx="1695450" cy="587512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 9: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Final health</a:t>
          </a:r>
          <a:b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post-decision</a:t>
          </a:r>
        </a:p>
      </xdr:txBody>
    </xdr:sp>
    <xdr:clientData/>
  </xdr:twoCellAnchor>
  <xdr:twoCellAnchor>
    <xdr:from>
      <xdr:col>7</xdr:col>
      <xdr:colOff>562314</xdr:colOff>
      <xdr:row>14</xdr:row>
      <xdr:rowOff>75573</xdr:rowOff>
    </xdr:from>
    <xdr:to>
      <xdr:col>8</xdr:col>
      <xdr:colOff>243396</xdr:colOff>
      <xdr:row>16</xdr:row>
      <xdr:rowOff>160407</xdr:rowOff>
    </xdr:to>
    <xdr:cxnSp macro="">
      <xdr:nvCxnSpPr>
        <xdr:cNvPr id="11" name="Straight Arrow Connector 9">
          <a:extLst>
            <a:ext uri="{FF2B5EF4-FFF2-40B4-BE49-F238E27FC236}">
              <a16:creationId xmlns:a16="http://schemas.microsoft.com/office/drawing/2014/main" id="{B6E967DC-5DB4-4589-A9A1-AE69E027A27F}"/>
            </a:ext>
          </a:extLst>
        </xdr:cNvPr>
        <xdr:cNvCxnSpPr>
          <a:cxnSpLocks/>
          <a:stCxn id="8" idx="2"/>
          <a:endCxn id="10" idx="1"/>
        </xdr:cNvCxnSpPr>
      </xdr:nvCxnSpPr>
      <xdr:spPr>
        <a:xfrm rot="16200000" flipH="1">
          <a:off x="5227713" y="2934924"/>
          <a:ext cx="465834" cy="290682"/>
        </a:xfrm>
        <a:prstGeom prst="curvedConnector2">
          <a:avLst/>
        </a:prstGeom>
        <a:ln w="38100">
          <a:tailEnd type="triangle" w="lg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468477</xdr:colOff>
      <xdr:row>18</xdr:row>
      <xdr:rowOff>73163</xdr:rowOff>
    </xdr:from>
    <xdr:to>
      <xdr:col>9</xdr:col>
      <xdr:colOff>481521</xdr:colOff>
      <xdr:row>21</xdr:row>
      <xdr:rowOff>22035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0A7921F7-5611-4C2F-BE5D-E94EA8032B20}"/>
            </a:ext>
          </a:extLst>
        </xdr:cNvPr>
        <xdr:cNvCxnSpPr>
          <a:cxnSpLocks/>
          <a:stCxn id="10" idx="2"/>
          <a:endCxn id="4" idx="0"/>
        </xdr:cNvCxnSpPr>
      </xdr:nvCxnSpPr>
      <xdr:spPr>
        <a:xfrm flipH="1">
          <a:off x="6440652" y="3606938"/>
          <a:ext cx="13044" cy="520372"/>
        </a:xfrm>
        <a:prstGeom prst="straightConnector1">
          <a:avLst/>
        </a:prstGeom>
        <a:ln w="38100">
          <a:tailEnd type="triangle" w="lg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110047</xdr:colOff>
      <xdr:row>14</xdr:row>
      <xdr:rowOff>85700</xdr:rowOff>
    </xdr:from>
    <xdr:to>
      <xdr:col>11</xdr:col>
      <xdr:colOff>399422</xdr:colOff>
      <xdr:row>16</xdr:row>
      <xdr:rowOff>160407</xdr:rowOff>
    </xdr:to>
    <xdr:cxnSp macro="">
      <xdr:nvCxnSpPr>
        <xdr:cNvPr id="13" name="Straight Arrow Connector 9">
          <a:extLst>
            <a:ext uri="{FF2B5EF4-FFF2-40B4-BE49-F238E27FC236}">
              <a16:creationId xmlns:a16="http://schemas.microsoft.com/office/drawing/2014/main" id="{05975951-67C6-49A1-8BD7-A275B715E4CB}"/>
            </a:ext>
          </a:extLst>
        </xdr:cNvPr>
        <xdr:cNvCxnSpPr>
          <a:cxnSpLocks/>
          <a:stCxn id="9" idx="2"/>
          <a:endCxn id="10" idx="3"/>
        </xdr:cNvCxnSpPr>
      </xdr:nvCxnSpPr>
      <xdr:spPr>
        <a:xfrm rot="5400000">
          <a:off x="7218256" y="2940641"/>
          <a:ext cx="455707" cy="289375"/>
        </a:xfrm>
        <a:prstGeom prst="curvedConnector2">
          <a:avLst/>
        </a:prstGeom>
        <a:ln w="38100">
          <a:tailEnd type="triangle" w="lg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481521</xdr:colOff>
      <xdr:row>10</xdr:row>
      <xdr:rowOff>123999</xdr:rowOff>
    </xdr:from>
    <xdr:to>
      <xdr:col>9</xdr:col>
      <xdr:colOff>486283</xdr:colOff>
      <xdr:row>15</xdr:row>
      <xdr:rowOff>57151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535B90C3-1E42-42AD-8C8E-336E89AFE75F}"/>
            </a:ext>
          </a:extLst>
        </xdr:cNvPr>
        <xdr:cNvCxnSpPr>
          <a:cxnSpLocks/>
          <a:stCxn id="7" idx="2"/>
          <a:endCxn id="10" idx="0"/>
        </xdr:cNvCxnSpPr>
      </xdr:nvCxnSpPr>
      <xdr:spPr>
        <a:xfrm flipH="1">
          <a:off x="6453696" y="2133774"/>
          <a:ext cx="4762" cy="885652"/>
        </a:xfrm>
        <a:prstGeom prst="straightConnector1">
          <a:avLst/>
        </a:prstGeom>
        <a:ln w="38100">
          <a:tailEnd type="triangle" w="lg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598588</xdr:colOff>
      <xdr:row>24</xdr:row>
      <xdr:rowOff>8221</xdr:rowOff>
    </xdr:from>
    <xdr:to>
      <xdr:col>9</xdr:col>
      <xdr:colOff>356355</xdr:colOff>
      <xdr:row>27</xdr:row>
      <xdr:rowOff>85056</xdr:rowOff>
    </xdr:to>
    <xdr:sp macro="" textlink="">
      <xdr:nvSpPr>
        <xdr:cNvPr id="15" name="Rounded Rectangle 5">
          <a:extLst>
            <a:ext uri="{FF2B5EF4-FFF2-40B4-BE49-F238E27FC236}">
              <a16:creationId xmlns:a16="http://schemas.microsoft.com/office/drawing/2014/main" id="{617C0859-8CE4-4927-983C-0478586292DF}"/>
            </a:ext>
          </a:extLst>
        </xdr:cNvPr>
        <xdr:cNvSpPr/>
      </xdr:nvSpPr>
      <xdr:spPr>
        <a:xfrm>
          <a:off x="4741963" y="4684996"/>
          <a:ext cx="1586567" cy="648335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 11: </a:t>
          </a:r>
          <a:b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Dominance analysis</a:t>
          </a:r>
        </a:p>
      </xdr:txBody>
    </xdr:sp>
    <xdr:clientData/>
  </xdr:twoCellAnchor>
  <xdr:twoCellAnchor>
    <xdr:from>
      <xdr:col>9</xdr:col>
      <xdr:colOff>601144</xdr:colOff>
      <xdr:row>23</xdr:row>
      <xdr:rowOff>174978</xdr:rowOff>
    </xdr:from>
    <xdr:to>
      <xdr:col>12</xdr:col>
      <xdr:colOff>333532</xdr:colOff>
      <xdr:row>27</xdr:row>
      <xdr:rowOff>61313</xdr:rowOff>
    </xdr:to>
    <xdr:sp macro="" textlink="">
      <xdr:nvSpPr>
        <xdr:cNvPr id="16" name="Rounded Rectangle 5">
          <a:extLst>
            <a:ext uri="{FF2B5EF4-FFF2-40B4-BE49-F238E27FC236}">
              <a16:creationId xmlns:a16="http://schemas.microsoft.com/office/drawing/2014/main" id="{FEC01798-3988-4E32-9504-0BE8FFBF3289}"/>
            </a:ext>
          </a:extLst>
        </xdr:cNvPr>
        <xdr:cNvSpPr/>
      </xdr:nvSpPr>
      <xdr:spPr>
        <a:xfrm>
          <a:off x="6573319" y="4661253"/>
          <a:ext cx="1561188" cy="648335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 12: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Rank-dependent </a:t>
          </a:r>
          <a:b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equity weights</a:t>
          </a:r>
        </a:p>
      </xdr:txBody>
    </xdr:sp>
    <xdr:clientData/>
  </xdr:twoCellAnchor>
  <xdr:oneCellAnchor>
    <xdr:from>
      <xdr:col>0</xdr:col>
      <xdr:colOff>180975</xdr:colOff>
      <xdr:row>1</xdr:row>
      <xdr:rowOff>76200</xdr:rowOff>
    </xdr:from>
    <xdr:ext cx="3743325" cy="325755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13CE64B1-4B8D-4F81-BEFC-0F0CA43225D5}"/>
            </a:ext>
          </a:extLst>
        </xdr:cNvPr>
        <xdr:cNvSpPr txBox="1"/>
      </xdr:nvSpPr>
      <xdr:spPr>
        <a:xfrm>
          <a:off x="180975" y="371475"/>
          <a:ext cx="3743325" cy="32575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400" b="1" baseline="0"/>
            <a:t>Instructions for this exercise are available at: </a:t>
          </a:r>
          <a:r>
            <a:rPr lang="en-GB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https://www.york.ac.uk/che/research/equity/handbook</a:t>
          </a:r>
          <a:endParaRPr lang="en-GB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en-GB" sz="1400" b="1" baseline="0"/>
        </a:p>
        <a:p>
          <a:r>
            <a:rPr lang="en-GB" sz="1400" b="1" baseline="0"/>
            <a:t>This training exercise accompanies Chapter 11 of the Oxford University Press Handbook of Distributional Cost-Effectiveness Analysis.</a:t>
          </a:r>
        </a:p>
        <a:p>
          <a:endParaRPr lang="en-GB" sz="1400" b="1" baseline="0"/>
        </a:p>
        <a:p>
          <a:r>
            <a:rPr lang="en-GB" sz="1400" b="1"/>
            <a:t>This exercise contains 9 worksheets after this title sheet, starting</a:t>
          </a:r>
          <a:r>
            <a:rPr lang="en-GB" sz="1400" b="1" baseline="0"/>
            <a:t> with "PD" and ending with </a:t>
          </a:r>
          <a:r>
            <a:rPr lang="en-GB" sz="1400" b="1"/>
            <a:t>"SOGCD".</a:t>
          </a:r>
        </a:p>
        <a:p>
          <a:endParaRPr lang="en-GB" sz="1400" b="1"/>
        </a:p>
        <a:p>
          <a:r>
            <a:rPr lang="en-GB" sz="1400" b="1"/>
            <a:t>Your task is to complete</a:t>
          </a:r>
          <a:r>
            <a:rPr lang="en-GB" sz="1400" b="1" baseline="0"/>
            <a:t> the exercise cells highlighted in yellow.</a:t>
          </a:r>
          <a:endParaRPr lang="en-GB" sz="1400" b="1"/>
        </a:p>
      </xdr:txBody>
    </xdr:sp>
    <xdr:clientData/>
  </xdr:oneCellAnchor>
  <xdr:oneCellAnchor>
    <xdr:from>
      <xdr:col>0</xdr:col>
      <xdr:colOff>180975</xdr:colOff>
      <xdr:row>28</xdr:row>
      <xdr:rowOff>123825</xdr:rowOff>
    </xdr:from>
    <xdr:ext cx="3743325" cy="104775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20DDB619-F983-4E02-93EE-A553D661FAB8}"/>
            </a:ext>
          </a:extLst>
        </xdr:cNvPr>
        <xdr:cNvSpPr txBox="1"/>
      </xdr:nvSpPr>
      <xdr:spPr>
        <a:xfrm>
          <a:off x="180975" y="5562600"/>
          <a:ext cx="3743325" cy="10477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1400" b="1" baseline="0"/>
            <a:t>This exercise was produced by Tom Van Ourti and Owen O'Donnell and edited by Richard Cookson with help from Matthias Arnold and Yukiko Asada.</a:t>
          </a:r>
        </a:p>
        <a:p>
          <a:endParaRPr lang="en-GB" sz="1400" b="1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18</xdr:row>
      <xdr:rowOff>7620</xdr:rowOff>
    </xdr:from>
    <xdr:to>
      <xdr:col>5</xdr:col>
      <xdr:colOff>736740</xdr:colOff>
      <xdr:row>39</xdr:row>
      <xdr:rowOff>127140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E24F013-B728-4EC1-B2AE-274BCF70AB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15240</xdr:colOff>
      <xdr:row>18</xdr:row>
      <xdr:rowOff>15240</xdr:rowOff>
    </xdr:from>
    <xdr:to>
      <xdr:col>11</xdr:col>
      <xdr:colOff>744360</xdr:colOff>
      <xdr:row>39</xdr:row>
      <xdr:rowOff>134760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FC6B616-0CBD-4500-8953-4D24DC07AC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14</xdr:row>
      <xdr:rowOff>38100</xdr:rowOff>
    </xdr:from>
    <xdr:to>
      <xdr:col>4</xdr:col>
      <xdr:colOff>742950</xdr:colOff>
      <xdr:row>31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603943C-0E09-430C-A21E-899E38288E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19052</xdr:colOff>
      <xdr:row>14</xdr:row>
      <xdr:rowOff>47625</xdr:rowOff>
    </xdr:from>
    <xdr:to>
      <xdr:col>9</xdr:col>
      <xdr:colOff>38101</xdr:colOff>
      <xdr:row>31</xdr:row>
      <xdr:rowOff>190499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4FE1513-3CBC-4DD7-9C49-E550303E02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0</xdr:colOff>
      <xdr:row>19</xdr:row>
      <xdr:rowOff>0</xdr:rowOff>
    </xdr:from>
    <xdr:to>
      <xdr:col>17</xdr:col>
      <xdr:colOff>466725</xdr:colOff>
      <xdr:row>39</xdr:row>
      <xdr:rowOff>180975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AB83A54-DD4E-42AA-89E5-47947A3A2C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409576</xdr:colOff>
      <xdr:row>2</xdr:row>
      <xdr:rowOff>182137</xdr:rowOff>
    </xdr:from>
    <xdr:to>
      <xdr:col>12</xdr:col>
      <xdr:colOff>728285</xdr:colOff>
      <xdr:row>17</xdr:row>
      <xdr:rowOff>304800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428625</xdr:colOff>
      <xdr:row>17</xdr:row>
      <xdr:rowOff>394335</xdr:rowOff>
    </xdr:from>
    <xdr:to>
      <xdr:col>12</xdr:col>
      <xdr:colOff>719595</xdr:colOff>
      <xdr:row>38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2</xdr:row>
      <xdr:rowOff>180976</xdr:rowOff>
    </xdr:from>
    <xdr:to>
      <xdr:col>17</xdr:col>
      <xdr:colOff>729120</xdr:colOff>
      <xdr:row>17</xdr:row>
      <xdr:rowOff>295276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441959</xdr:colOff>
      <xdr:row>21</xdr:row>
      <xdr:rowOff>0</xdr:rowOff>
    </xdr:from>
    <xdr:to>
      <xdr:col>5</xdr:col>
      <xdr:colOff>729119</xdr:colOff>
      <xdr:row>42</xdr:row>
      <xdr:rowOff>119520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28574</xdr:colOff>
      <xdr:row>21</xdr:row>
      <xdr:rowOff>13335</xdr:rowOff>
    </xdr:from>
    <xdr:to>
      <xdr:col>11</xdr:col>
      <xdr:colOff>419099</xdr:colOff>
      <xdr:row>42</xdr:row>
      <xdr:rowOff>140475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424815</xdr:colOff>
      <xdr:row>21</xdr:row>
      <xdr:rowOff>7620</xdr:rowOff>
    </xdr:from>
    <xdr:to>
      <xdr:col>6</xdr:col>
      <xdr:colOff>219075</xdr:colOff>
      <xdr:row>42</xdr:row>
      <xdr:rowOff>127140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476250</xdr:colOff>
      <xdr:row>21</xdr:row>
      <xdr:rowOff>7620</xdr:rowOff>
    </xdr:from>
    <xdr:to>
      <xdr:col>12</xdr:col>
      <xdr:colOff>276225</xdr:colOff>
      <xdr:row>42</xdr:row>
      <xdr:rowOff>127140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21</xdr:row>
      <xdr:rowOff>7620</xdr:rowOff>
    </xdr:from>
    <xdr:to>
      <xdr:col>6</xdr:col>
      <xdr:colOff>361950</xdr:colOff>
      <xdr:row>42</xdr:row>
      <xdr:rowOff>127140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142875</xdr:colOff>
      <xdr:row>21</xdr:row>
      <xdr:rowOff>112395</xdr:rowOff>
    </xdr:from>
    <xdr:to>
      <xdr:col>13</xdr:col>
      <xdr:colOff>485775</xdr:colOff>
      <xdr:row>43</xdr:row>
      <xdr:rowOff>41415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9525</xdr:rowOff>
    </xdr:from>
    <xdr:to>
      <xdr:col>5</xdr:col>
      <xdr:colOff>609601</xdr:colOff>
      <xdr:row>32</xdr:row>
      <xdr:rowOff>169050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6C847F0-EC62-450B-8A32-3A54825DF7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600078</xdr:colOff>
      <xdr:row>12</xdr:row>
      <xdr:rowOff>0</xdr:rowOff>
    </xdr:from>
    <xdr:to>
      <xdr:col>12</xdr:col>
      <xdr:colOff>1</xdr:colOff>
      <xdr:row>32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2E32AA3-A393-4509-ADF2-2B2AEF2992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95251</xdr:colOff>
      <xdr:row>12</xdr:row>
      <xdr:rowOff>0</xdr:rowOff>
    </xdr:from>
    <xdr:to>
      <xdr:col>19</xdr:col>
      <xdr:colOff>200026</xdr:colOff>
      <xdr:row>32</xdr:row>
      <xdr:rowOff>180975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61DD479-A92D-4C19-BC99-4F4C3CBC67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7620</xdr:rowOff>
    </xdr:from>
    <xdr:to>
      <xdr:col>5</xdr:col>
      <xdr:colOff>729120</xdr:colOff>
      <xdr:row>38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5B7B215-AE6B-4D64-B187-F4195F1333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381000</xdr:colOff>
      <xdr:row>18</xdr:row>
      <xdr:rowOff>0</xdr:rowOff>
    </xdr:from>
    <xdr:to>
      <xdr:col>11</xdr:col>
      <xdr:colOff>729120</xdr:colOff>
      <xdr:row>38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E930F5B-AD3F-4C68-AEBC-82F6989517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419099</xdr:colOff>
      <xdr:row>18</xdr:row>
      <xdr:rowOff>0</xdr:rowOff>
    </xdr:from>
    <xdr:to>
      <xdr:col>6</xdr:col>
      <xdr:colOff>390524</xdr:colOff>
      <xdr:row>39</xdr:row>
      <xdr:rowOff>119520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7EE0B3E-C9A7-4D20-B689-DB51A01687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18</xdr:row>
      <xdr:rowOff>0</xdr:rowOff>
    </xdr:from>
    <xdr:to>
      <xdr:col>13</xdr:col>
      <xdr:colOff>66675</xdr:colOff>
      <xdr:row>39</xdr:row>
      <xdr:rowOff>119520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E5B95B2-DE3D-49A7-B2C3-3BC90A071B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workbookViewId="0"/>
  </sheetViews>
  <sheetFormatPr defaultRowHeight="15" x14ac:dyDescent="0.25"/>
  <cols>
    <col min="3" max="3" width="15.42578125" bestFit="1" customWidth="1"/>
    <col min="4" max="4" width="10.140625"/>
  </cols>
  <sheetData>
    <row r="1" spans="1:1" ht="23.25" x14ac:dyDescent="0.35">
      <c r="A1" s="91" t="s">
        <v>50</v>
      </c>
    </row>
    <row r="22" spans="2:4" x14ac:dyDescent="0.25">
      <c r="B22" s="92"/>
      <c r="C22" s="93" t="s">
        <v>45</v>
      </c>
      <c r="D22" s="94"/>
    </row>
    <row r="23" spans="2:4" x14ac:dyDescent="0.25">
      <c r="B23" s="95"/>
      <c r="D23" s="96"/>
    </row>
    <row r="24" spans="2:4" x14ac:dyDescent="0.25">
      <c r="B24" s="95"/>
      <c r="C24" s="97" t="s">
        <v>46</v>
      </c>
      <c r="D24" s="96"/>
    </row>
    <row r="25" spans="2:4" x14ac:dyDescent="0.25">
      <c r="B25" s="95"/>
      <c r="C25" s="103" t="s">
        <v>47</v>
      </c>
      <c r="D25" s="96"/>
    </row>
    <row r="26" spans="2:4" x14ac:dyDescent="0.25">
      <c r="B26" s="95"/>
      <c r="C26" s="98" t="s">
        <v>48</v>
      </c>
      <c r="D26" s="96"/>
    </row>
    <row r="27" spans="2:4" x14ac:dyDescent="0.25">
      <c r="B27" s="95"/>
      <c r="C27" s="99" t="s">
        <v>49</v>
      </c>
      <c r="D27" s="96"/>
    </row>
    <row r="28" spans="2:4" x14ac:dyDescent="0.25">
      <c r="B28" s="100"/>
      <c r="C28" s="101"/>
      <c r="D28" s="102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23"/>
  <sheetViews>
    <sheetView zoomScaleNormal="100" workbookViewId="0"/>
  </sheetViews>
  <sheetFormatPr defaultColWidth="8.85546875" defaultRowHeight="15" x14ac:dyDescent="0.25"/>
  <cols>
    <col min="1" max="1" width="6.28515625" style="5" customWidth="1"/>
    <col min="2" max="18" width="11.7109375" style="5" customWidth="1"/>
    <col min="19" max="16384" width="8.85546875" style="5"/>
  </cols>
  <sheetData>
    <row r="1" spans="1:18" ht="18.75" x14ac:dyDescent="0.3">
      <c r="A1" s="115" t="s">
        <v>78</v>
      </c>
    </row>
    <row r="3" spans="1:18" x14ac:dyDescent="0.25">
      <c r="B3" s="19" t="s">
        <v>93</v>
      </c>
      <c r="C3" s="88"/>
      <c r="D3" s="88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</row>
    <row r="4" spans="1:18" ht="38.25" x14ac:dyDescent="0.25">
      <c r="B4" s="83" t="s">
        <v>72</v>
      </c>
      <c r="C4" s="21" t="s">
        <v>88</v>
      </c>
      <c r="D4" s="21" t="s">
        <v>87</v>
      </c>
      <c r="E4" s="21">
        <v>1</v>
      </c>
      <c r="F4" s="21">
        <v>2</v>
      </c>
      <c r="G4" s="21">
        <v>3</v>
      </c>
      <c r="H4" s="21" t="s">
        <v>22</v>
      </c>
      <c r="I4" s="21" t="s">
        <v>23</v>
      </c>
      <c r="J4" s="81" t="s">
        <v>36</v>
      </c>
      <c r="K4" s="80"/>
      <c r="L4" s="82"/>
      <c r="M4" s="81" t="s">
        <v>35</v>
      </c>
      <c r="N4" s="80"/>
      <c r="O4" s="79"/>
      <c r="P4" s="78" t="s">
        <v>34</v>
      </c>
      <c r="Q4" s="48"/>
      <c r="R4" s="48"/>
    </row>
    <row r="5" spans="1:18" x14ac:dyDescent="0.25">
      <c r="A5" s="87"/>
      <c r="B5" s="49"/>
      <c r="C5" s="27">
        <v>0</v>
      </c>
      <c r="D5" s="27"/>
      <c r="E5" s="44">
        <v>0</v>
      </c>
      <c r="F5" s="44">
        <v>0</v>
      </c>
      <c r="G5" s="27">
        <v>0</v>
      </c>
      <c r="H5" s="27">
        <f t="shared" ref="H5:H10" si="0">F5-E5</f>
        <v>0</v>
      </c>
      <c r="I5" s="27">
        <f t="shared" ref="I5:I10" si="1">G5-E5</f>
        <v>0</v>
      </c>
      <c r="J5" s="85"/>
      <c r="K5" s="85"/>
      <c r="L5" s="85"/>
      <c r="M5" s="63"/>
      <c r="N5" s="63"/>
      <c r="O5" s="63"/>
      <c r="P5" s="63"/>
      <c r="Q5" s="63"/>
      <c r="R5" s="63"/>
    </row>
    <row r="6" spans="1:18" x14ac:dyDescent="0.25">
      <c r="B6" s="26">
        <v>1</v>
      </c>
      <c r="C6" s="44">
        <f>GCD!C6</f>
        <v>0.20335871345020987</v>
      </c>
      <c r="D6" s="44">
        <f>GCD!D6</f>
        <v>0.20335871345020987</v>
      </c>
      <c r="E6" s="44">
        <f>E5+$D6*GCD!E6</f>
        <v>2.6195873421621725</v>
      </c>
      <c r="F6" s="44">
        <f>F5+$D6*GCD!F6</f>
        <v>2.6195929804426843</v>
      </c>
      <c r="G6" s="44">
        <f>G5+$D6*GCD!G6</f>
        <v>2.619594609015977</v>
      </c>
      <c r="H6" s="137">
        <f t="shared" si="0"/>
        <v>5.6382805118104784E-6</v>
      </c>
      <c r="I6" s="137">
        <f t="shared" si="1"/>
        <v>7.2668538044773356E-6</v>
      </c>
      <c r="J6" s="137">
        <f>E6-F6</f>
        <v>-5.6382805118104784E-6</v>
      </c>
      <c r="K6" s="44">
        <f>IF(J6&lt;0,1,0)</f>
        <v>1</v>
      </c>
      <c r="L6" s="44">
        <f>IF(J6=0,"",K6)</f>
        <v>1</v>
      </c>
      <c r="M6" s="137">
        <f>E6-G6</f>
        <v>-7.2668538044773356E-6</v>
      </c>
      <c r="N6" s="44">
        <f>IF(M6&lt;0,1,0)</f>
        <v>1</v>
      </c>
      <c r="O6" s="44">
        <f>IF(M6=0,"",N6)</f>
        <v>1</v>
      </c>
      <c r="P6" s="137">
        <f>F6-G6</f>
        <v>-1.6285732926668572E-6</v>
      </c>
      <c r="Q6" s="44">
        <f>IF(P6&lt;0,1,0)</f>
        <v>1</v>
      </c>
      <c r="R6" s="44">
        <f>IF(P6=0,"",Q6)</f>
        <v>1</v>
      </c>
    </row>
    <row r="7" spans="1:18" x14ac:dyDescent="0.25">
      <c r="B7" s="26">
        <v>2</v>
      </c>
      <c r="C7" s="44">
        <f>GCD!C7</f>
        <v>0.40930096216319634</v>
      </c>
      <c r="D7" s="44">
        <f>GCD!D7</f>
        <v>0.20594224871298647</v>
      </c>
      <c r="E7" s="44">
        <f>E6+$D7*GCD!E7</f>
        <v>8.1895379377578301</v>
      </c>
      <c r="F7" s="44">
        <f>F6+$D7*GCD!F7</f>
        <v>8.1895533231453186</v>
      </c>
      <c r="G7" s="44">
        <f>G6+$D7*GCD!G7</f>
        <v>8.1895566512102693</v>
      </c>
      <c r="H7" s="137">
        <f t="shared" si="0"/>
        <v>1.538538748846463E-5</v>
      </c>
      <c r="I7" s="137">
        <f t="shared" si="1"/>
        <v>1.8713452439200751E-5</v>
      </c>
      <c r="J7" s="137">
        <f>E7-F7</f>
        <v>-1.538538748846463E-5</v>
      </c>
      <c r="K7" s="44">
        <f>IF(J7&lt;0,1,0)</f>
        <v>1</v>
      </c>
      <c r="L7" s="44">
        <f>IF(J7=0,"",K7)</f>
        <v>1</v>
      </c>
      <c r="M7" s="137">
        <f>E7-G7</f>
        <v>-1.8713452439200751E-5</v>
      </c>
      <c r="N7" s="44">
        <f>IF(M7&lt;0,1,0)</f>
        <v>1</v>
      </c>
      <c r="O7" s="44">
        <f>IF(M7=0,"",N7)</f>
        <v>1</v>
      </c>
      <c r="P7" s="137">
        <f>F7-G7</f>
        <v>-3.3280649507361204E-6</v>
      </c>
      <c r="Q7" s="44">
        <f>IF(P7&lt;0,1,0)</f>
        <v>1</v>
      </c>
      <c r="R7" s="44">
        <f>IF(P7=0,"",Q7)</f>
        <v>1</v>
      </c>
    </row>
    <row r="8" spans="1:18" x14ac:dyDescent="0.25">
      <c r="B8" s="26">
        <v>3</v>
      </c>
      <c r="C8" s="44">
        <f>GCD!C8</f>
        <v>0.6099650454574429</v>
      </c>
      <c r="D8" s="44">
        <f>GCD!D8</f>
        <v>0.20066408329424656</v>
      </c>
      <c r="E8" s="44">
        <f>E7+$D8*GCD!E8</f>
        <v>16.470214353253272</v>
      </c>
      <c r="F8" s="44">
        <f>F7+$D8*GCD!F8</f>
        <v>16.470243520573803</v>
      </c>
      <c r="G8" s="44">
        <f>G7+$D8*GCD!G8</f>
        <v>16.470247706954144</v>
      </c>
      <c r="H8" s="137">
        <f t="shared" si="0"/>
        <v>2.9167320530376628E-5</v>
      </c>
      <c r="I8" s="137">
        <f t="shared" si="1"/>
        <v>3.3353700871430192E-5</v>
      </c>
      <c r="J8" s="137">
        <f>E8-F8</f>
        <v>-2.9167320530376628E-5</v>
      </c>
      <c r="K8" s="44">
        <f>IF(J8&lt;0,1,0)</f>
        <v>1</v>
      </c>
      <c r="L8" s="44">
        <f>IF(J8=0,"",K8)</f>
        <v>1</v>
      </c>
      <c r="M8" s="137">
        <f>E8-G8</f>
        <v>-3.3353700871430192E-5</v>
      </c>
      <c r="N8" s="44">
        <f>IF(M8&lt;0,1,0)</f>
        <v>1</v>
      </c>
      <c r="O8" s="44">
        <f>IF(M8=0,"",N8)</f>
        <v>1</v>
      </c>
      <c r="P8" s="137">
        <f>F8-G8</f>
        <v>-4.1863803410535638E-6</v>
      </c>
      <c r="Q8" s="44">
        <f>IF(P8&lt;0,1,0)</f>
        <v>1</v>
      </c>
      <c r="R8" s="44">
        <f>IF(P8=0,"",Q8)</f>
        <v>1</v>
      </c>
    </row>
    <row r="9" spans="1:18" x14ac:dyDescent="0.25">
      <c r="B9" s="26">
        <v>4</v>
      </c>
      <c r="C9" s="44">
        <f>GCD!C9</f>
        <v>0.807111781202697</v>
      </c>
      <c r="D9" s="44">
        <f>GCD!D9</f>
        <v>0.1971467357452541</v>
      </c>
      <c r="E9" s="44">
        <f>E8+$D9*GCD!E9</f>
        <v>27.494529631189394</v>
      </c>
      <c r="F9" s="44">
        <f>F8+$D9*GCD!F9</f>
        <v>27.494574814982997</v>
      </c>
      <c r="G9" s="44">
        <f>G8+$D9*GCD!G9</f>
        <v>27.49457902612237</v>
      </c>
      <c r="H9" s="137">
        <f t="shared" si="0"/>
        <v>4.518379360263225E-5</v>
      </c>
      <c r="I9" s="137">
        <f t="shared" si="1"/>
        <v>4.9394932975843631E-5</v>
      </c>
      <c r="J9" s="137">
        <f>E9-F9</f>
        <v>-4.518379360263225E-5</v>
      </c>
      <c r="K9" s="44">
        <f>IF(J9&lt;0,1,0)</f>
        <v>1</v>
      </c>
      <c r="L9" s="44">
        <f>IF(J9=0,"",K9)</f>
        <v>1</v>
      </c>
      <c r="M9" s="137">
        <f>E9-G9</f>
        <v>-4.9394932975843631E-5</v>
      </c>
      <c r="N9" s="44">
        <f>IF(M9&lt;0,1,0)</f>
        <v>1</v>
      </c>
      <c r="O9" s="44">
        <f>IF(M9=0,"",N9)</f>
        <v>1</v>
      </c>
      <c r="P9" s="137">
        <f>F9-G9</f>
        <v>-4.2111393732113811E-6</v>
      </c>
      <c r="Q9" s="44">
        <f>IF(P9&lt;0,1,0)</f>
        <v>1</v>
      </c>
      <c r="R9" s="44">
        <f>IF(P9=0,"",Q9)</f>
        <v>1</v>
      </c>
    </row>
    <row r="10" spans="1:18" x14ac:dyDescent="0.25">
      <c r="B10" s="26">
        <v>5</v>
      </c>
      <c r="C10" s="44">
        <f>GCD!C10</f>
        <v>1</v>
      </c>
      <c r="D10" s="44">
        <f>GCD!D10</f>
        <v>0.192888218797303</v>
      </c>
      <c r="E10" s="44">
        <f>E9+$D10*GCD!E10</f>
        <v>41.117491023575155</v>
      </c>
      <c r="F10" s="44">
        <f>F9+$D10*GCD!F10</f>
        <v>41.117554168107453</v>
      </c>
      <c r="G10" s="44">
        <f>G9+$D10*GCD!G10</f>
        <v>41.117557710803595</v>
      </c>
      <c r="H10" s="137">
        <f t="shared" si="0"/>
        <v>6.3144532298053946E-5</v>
      </c>
      <c r="I10" s="137">
        <f t="shared" si="1"/>
        <v>6.6687228439832325E-5</v>
      </c>
      <c r="J10" s="137">
        <f>E10-F10</f>
        <v>-6.3144532298053946E-5</v>
      </c>
      <c r="K10" s="44">
        <f>IF(J10&lt;0,1,0)</f>
        <v>1</v>
      </c>
      <c r="L10" s="44">
        <f>IF(J10=0,"",K10)</f>
        <v>1</v>
      </c>
      <c r="M10" s="137">
        <f>E10-G10</f>
        <v>-6.6687228439832325E-5</v>
      </c>
      <c r="N10" s="44">
        <f>IF(M10&lt;0,1,0)</f>
        <v>1</v>
      </c>
      <c r="O10" s="44">
        <f>IF(M10=0,"",N10)</f>
        <v>1</v>
      </c>
      <c r="P10" s="137">
        <f>F10-G10</f>
        <v>-3.5426961417783787E-6</v>
      </c>
      <c r="Q10" s="44">
        <f>IF(P10&lt;0,1,0)</f>
        <v>1</v>
      </c>
      <c r="R10" s="44">
        <f>IF(P10=0,"",Q10)</f>
        <v>1</v>
      </c>
    </row>
    <row r="11" spans="1:18" x14ac:dyDescent="0.25">
      <c r="B11" s="36"/>
      <c r="C11" s="36"/>
      <c r="D11" s="36"/>
      <c r="E11" s="36"/>
      <c r="F11" s="36"/>
      <c r="G11" s="36"/>
      <c r="H11" s="36"/>
      <c r="I11" s="36"/>
      <c r="J11" s="44" t="s">
        <v>4</v>
      </c>
      <c r="K11" s="28"/>
      <c r="L11" s="44">
        <f>MIN(L6:L10)</f>
        <v>1</v>
      </c>
      <c r="M11" s="44"/>
      <c r="N11" s="44"/>
      <c r="O11" s="44">
        <f>MIN(O6:O10)</f>
        <v>1</v>
      </c>
      <c r="P11" s="45"/>
      <c r="Q11" s="44"/>
      <c r="R11" s="44">
        <f>MIN(R6:R10)</f>
        <v>1</v>
      </c>
    </row>
    <row r="12" spans="1:18" x14ac:dyDescent="0.25">
      <c r="B12" s="36"/>
      <c r="C12" s="36"/>
      <c r="D12" s="36"/>
      <c r="E12" s="36"/>
      <c r="F12" s="36"/>
      <c r="G12" s="36"/>
      <c r="H12" s="36"/>
      <c r="I12" s="36"/>
      <c r="J12" s="44" t="s">
        <v>5</v>
      </c>
      <c r="K12" s="28"/>
      <c r="L12" s="44">
        <f>MAX(L6:L10)</f>
        <v>1</v>
      </c>
      <c r="M12" s="44"/>
      <c r="N12" s="44"/>
      <c r="O12" s="44">
        <f>MAX(O6:O10)</f>
        <v>1</v>
      </c>
      <c r="P12" s="45"/>
      <c r="Q12" s="44"/>
      <c r="R12" s="44">
        <f>MAX(R6:R10)</f>
        <v>1</v>
      </c>
    </row>
    <row r="13" spans="1:18" ht="26.25" x14ac:dyDescent="0.25">
      <c r="B13" s="36"/>
      <c r="C13" s="36"/>
      <c r="D13" s="36"/>
      <c r="E13" s="36"/>
      <c r="F13" s="36"/>
      <c r="G13" s="36"/>
      <c r="H13" s="36"/>
      <c r="I13" s="36"/>
      <c r="J13" s="73"/>
      <c r="K13" s="28"/>
      <c r="L13" s="73" t="str">
        <f>IF(L12=1,"2 dominates 1", "1 dominates 2")</f>
        <v>2 dominates 1</v>
      </c>
      <c r="M13" s="44"/>
      <c r="N13" s="44"/>
      <c r="O13" s="73" t="str">
        <f>IF(O12=1,"3 dominates  1", "1 dominates 3")</f>
        <v>3 dominates  1</v>
      </c>
      <c r="P13" s="45"/>
      <c r="Q13" s="44"/>
      <c r="R13" s="73" t="str">
        <f>IF(R12=1,"3 dominates 2", "2 dominates 3")</f>
        <v>3 dominates 2</v>
      </c>
    </row>
    <row r="14" spans="1:18" x14ac:dyDescent="0.25">
      <c r="B14" s="19" t="s">
        <v>74</v>
      </c>
      <c r="C14" s="62"/>
      <c r="D14" s="36"/>
      <c r="E14" s="36"/>
      <c r="F14" s="36"/>
      <c r="G14" s="36"/>
      <c r="H14" s="36"/>
      <c r="I14" s="36"/>
      <c r="J14" s="62"/>
      <c r="K14" s="62"/>
      <c r="L14" s="62"/>
      <c r="M14" s="62"/>
      <c r="N14" s="36"/>
      <c r="O14" s="36"/>
      <c r="P14" s="36"/>
      <c r="Q14" s="36"/>
      <c r="R14" s="36"/>
    </row>
    <row r="15" spans="1:18" x14ac:dyDescent="0.25">
      <c r="B15" s="42" t="str">
        <f>IF(L11=L12,O13,"no dominance")</f>
        <v>3 dominates  1</v>
      </c>
      <c r="C15" s="63"/>
      <c r="D15" s="36"/>
      <c r="E15" s="36"/>
      <c r="F15" s="36"/>
      <c r="G15" s="36"/>
      <c r="H15" s="36"/>
      <c r="I15" s="36"/>
      <c r="J15" s="62"/>
      <c r="K15" s="62"/>
      <c r="L15" s="62"/>
      <c r="M15" s="62"/>
      <c r="N15" s="62"/>
      <c r="O15" s="62"/>
      <c r="P15" s="62"/>
      <c r="Q15" s="62"/>
      <c r="R15" s="62"/>
    </row>
    <row r="16" spans="1:18" x14ac:dyDescent="0.25">
      <c r="B16" s="42" t="str">
        <f>IF(O11=O12,O13,"no dominance")</f>
        <v>3 dominates  1</v>
      </c>
      <c r="C16" s="63"/>
      <c r="D16" s="36"/>
      <c r="E16" s="36"/>
      <c r="F16" s="36"/>
      <c r="G16" s="36"/>
      <c r="H16" s="36"/>
      <c r="I16" s="36"/>
      <c r="J16" s="62"/>
      <c r="K16" s="62"/>
      <c r="L16" s="62"/>
      <c r="M16" s="62"/>
      <c r="N16" s="62"/>
      <c r="O16" s="62"/>
      <c r="P16" s="62"/>
      <c r="Q16" s="62"/>
      <c r="R16" s="62"/>
    </row>
    <row r="17" spans="2:18" x14ac:dyDescent="0.25">
      <c r="B17" s="42" t="str">
        <f>IF(R11=R12,R13,"no dominance")</f>
        <v>3 dominates 2</v>
      </c>
      <c r="C17" s="63"/>
      <c r="D17" s="36"/>
      <c r="E17" s="36"/>
      <c r="F17" s="36"/>
      <c r="G17" s="36"/>
      <c r="H17" s="36"/>
      <c r="I17" s="36"/>
      <c r="J17" s="62"/>
      <c r="K17" s="62"/>
      <c r="L17" s="62"/>
      <c r="M17" s="62"/>
      <c r="N17" s="36"/>
      <c r="O17" s="36"/>
      <c r="P17" s="62"/>
      <c r="Q17" s="62"/>
      <c r="R17" s="62"/>
    </row>
    <row r="18" spans="2:18" x14ac:dyDescent="0.25">
      <c r="J18"/>
      <c r="K18"/>
      <c r="L18"/>
      <c r="M18"/>
      <c r="P18"/>
      <c r="Q18"/>
      <c r="R18"/>
    </row>
    <row r="19" spans="2:18" x14ac:dyDescent="0.25">
      <c r="J19"/>
      <c r="K19"/>
      <c r="L19"/>
      <c r="M19"/>
      <c r="P19"/>
      <c r="Q19"/>
      <c r="R19"/>
    </row>
    <row r="20" spans="2:18" x14ac:dyDescent="0.25">
      <c r="J20"/>
      <c r="K20"/>
      <c r="L20"/>
      <c r="M20"/>
      <c r="P20"/>
      <c r="Q20"/>
      <c r="R20"/>
    </row>
    <row r="23" spans="2:18" x14ac:dyDescent="0.25">
      <c r="Q23" s="86"/>
      <c r="R23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8"/>
  <sheetViews>
    <sheetView workbookViewId="0"/>
  </sheetViews>
  <sheetFormatPr defaultRowHeight="15" x14ac:dyDescent="0.25"/>
  <cols>
    <col min="2" max="5" width="11.85546875" customWidth="1"/>
    <col min="6" max="7" width="13.42578125" customWidth="1"/>
    <col min="8" max="8" width="13.140625" customWidth="1"/>
    <col min="9" max="9" width="12.7109375" customWidth="1"/>
    <col min="10" max="10" width="13.140625" customWidth="1"/>
    <col min="11" max="11" width="9" customWidth="1"/>
    <col min="12" max="12" width="8.5703125" customWidth="1"/>
    <col min="13" max="13" width="7.28515625" customWidth="1"/>
    <col min="14" max="14" width="7.85546875" customWidth="1"/>
    <col min="15" max="15" width="8.28515625" customWidth="1"/>
    <col min="16" max="16" width="8.42578125" customWidth="1"/>
  </cols>
  <sheetData>
    <row r="1" spans="1:19" ht="18.75" x14ac:dyDescent="0.3">
      <c r="A1" s="108" t="s">
        <v>70</v>
      </c>
    </row>
    <row r="2" spans="1:19" ht="18.75" x14ac:dyDescent="0.3">
      <c r="A2" s="108"/>
    </row>
    <row r="3" spans="1:19" ht="34.5" customHeight="1" x14ac:dyDescent="0.25">
      <c r="B3" s="144" t="s">
        <v>59</v>
      </c>
      <c r="C3" s="144"/>
      <c r="D3" s="144"/>
      <c r="E3" s="144"/>
      <c r="F3" s="144"/>
      <c r="G3" s="146" t="s">
        <v>85</v>
      </c>
      <c r="H3" s="146"/>
      <c r="I3" s="146"/>
      <c r="K3" s="146" t="s">
        <v>86</v>
      </c>
      <c r="L3" s="146"/>
      <c r="M3" s="146"/>
      <c r="N3" s="146"/>
      <c r="O3" s="146"/>
      <c r="P3" s="146"/>
      <c r="Q3" s="111"/>
      <c r="R3" s="111"/>
      <c r="S3" s="111"/>
    </row>
    <row r="4" spans="1:19" ht="51" customHeight="1" x14ac:dyDescent="0.25">
      <c r="B4" s="21" t="s">
        <v>43</v>
      </c>
      <c r="C4" s="21" t="s">
        <v>42</v>
      </c>
      <c r="D4" s="21" t="s">
        <v>58</v>
      </c>
      <c r="E4" s="21" t="s">
        <v>20</v>
      </c>
      <c r="F4" s="21" t="s">
        <v>21</v>
      </c>
      <c r="G4" s="110" t="s">
        <v>51</v>
      </c>
      <c r="H4" s="110" t="s">
        <v>52</v>
      </c>
      <c r="I4" s="110" t="s">
        <v>53</v>
      </c>
      <c r="K4" s="145" t="s">
        <v>26</v>
      </c>
      <c r="L4" s="145"/>
      <c r="M4" s="145" t="s">
        <v>27</v>
      </c>
      <c r="N4" s="145"/>
      <c r="O4" s="147" t="s">
        <v>28</v>
      </c>
      <c r="P4" s="147"/>
    </row>
    <row r="5" spans="1:19" x14ac:dyDescent="0.25">
      <c r="B5" s="18" t="s">
        <v>6</v>
      </c>
      <c r="C5" s="104">
        <v>3959316</v>
      </c>
      <c r="D5" s="107">
        <v>65.953454828519668</v>
      </c>
      <c r="E5" s="107">
        <v>65.95356057161824</v>
      </c>
      <c r="F5" s="107">
        <v>65.953577414517284</v>
      </c>
      <c r="G5" s="109">
        <f>$C5*E5-$C5*D5</f>
        <v>418.67034208774567</v>
      </c>
      <c r="H5" s="109">
        <f>$C5*F5-$C5*D5</f>
        <v>485.35670173168182</v>
      </c>
      <c r="I5" s="113"/>
      <c r="K5" s="44">
        <f t="shared" ref="K5:K14" si="0">IF(G5&gt;0,1,0)</f>
        <v>1</v>
      </c>
      <c r="L5" s="44">
        <f t="shared" ref="L5:L14" si="1">IF(G5=0,"",K5)</f>
        <v>1</v>
      </c>
      <c r="M5" s="44">
        <f t="shared" ref="M5:M14" si="2">IF(H5&gt;0,1,0)</f>
        <v>1</v>
      </c>
      <c r="N5" s="44">
        <f t="shared" ref="N5:N14" si="3">IF(H5=0,"",M5)</f>
        <v>1</v>
      </c>
      <c r="O5" s="44">
        <f>IF(I5&gt;0,1,0)</f>
        <v>0</v>
      </c>
      <c r="P5" s="44" t="str">
        <f>IF(I5=0,"",O5)</f>
        <v/>
      </c>
    </row>
    <row r="6" spans="1:19" x14ac:dyDescent="0.25">
      <c r="B6" s="18" t="s">
        <v>7</v>
      </c>
      <c r="C6" s="104">
        <v>6331048</v>
      </c>
      <c r="D6" s="107">
        <v>70.344928147144799</v>
      </c>
      <c r="E6" s="107">
        <v>70.345009341331306</v>
      </c>
      <c r="F6" s="107">
        <v>70.345002492322649</v>
      </c>
      <c r="G6" s="109">
        <f t="shared" ref="G6:G14" si="4">$C6*E6-$C6*D6</f>
        <v>514.0442920923233</v>
      </c>
      <c r="H6" s="109">
        <f t="shared" ref="H6:H14" si="5">$C6*F6-$C6*D6</f>
        <v>470.68288958072662</v>
      </c>
      <c r="I6" s="113"/>
      <c r="K6" s="44">
        <f t="shared" si="0"/>
        <v>1</v>
      </c>
      <c r="L6" s="44">
        <f t="shared" si="1"/>
        <v>1</v>
      </c>
      <c r="M6" s="44">
        <f t="shared" si="2"/>
        <v>1</v>
      </c>
      <c r="N6" s="44">
        <f t="shared" si="3"/>
        <v>1</v>
      </c>
      <c r="O6" s="44">
        <f t="shared" ref="O6:O9" si="6">IF(I6&gt;0,1,0)</f>
        <v>0</v>
      </c>
      <c r="P6" s="44" t="str">
        <f t="shared" ref="P6:P9" si="7">IF(I6=0,"",O6)</f>
        <v/>
      </c>
    </row>
    <row r="7" spans="1:19" x14ac:dyDescent="0.25">
      <c r="B7" s="18" t="s">
        <v>8</v>
      </c>
      <c r="C7" s="104">
        <v>6474305</v>
      </c>
      <c r="D7" s="107">
        <v>72.213544204351976</v>
      </c>
      <c r="E7" s="107">
        <v>72.213646949791766</v>
      </c>
      <c r="F7" s="107">
        <v>72.213622276246156</v>
      </c>
      <c r="G7" s="109">
        <f t="shared" si="4"/>
        <v>665.20531457662582</v>
      </c>
      <c r="H7" s="109">
        <f t="shared" si="5"/>
        <v>505.46125483512878</v>
      </c>
      <c r="I7" s="113"/>
      <c r="K7" s="44">
        <f t="shared" si="0"/>
        <v>1</v>
      </c>
      <c r="L7" s="44">
        <f t="shared" si="1"/>
        <v>1</v>
      </c>
      <c r="M7" s="44">
        <f t="shared" si="2"/>
        <v>1</v>
      </c>
      <c r="N7" s="44">
        <f t="shared" si="3"/>
        <v>1</v>
      </c>
      <c r="O7" s="44">
        <f t="shared" si="6"/>
        <v>0</v>
      </c>
      <c r="P7" s="44" t="str">
        <f t="shared" si="7"/>
        <v/>
      </c>
    </row>
    <row r="8" spans="1:19" x14ac:dyDescent="0.25">
      <c r="B8" s="18" t="s">
        <v>9</v>
      </c>
      <c r="C8" s="104">
        <v>6194904</v>
      </c>
      <c r="D8" s="107">
        <v>75.597859352178702</v>
      </c>
      <c r="E8" s="107">
        <v>75.597916460553989</v>
      </c>
      <c r="F8" s="107">
        <v>75.597895401169012</v>
      </c>
      <c r="G8" s="109">
        <f t="shared" si="4"/>
        <v>353.78090250492096</v>
      </c>
      <c r="H8" s="109">
        <f t="shared" si="5"/>
        <v>223.32003426551819</v>
      </c>
      <c r="I8" s="113"/>
      <c r="K8" s="44">
        <f t="shared" si="0"/>
        <v>1</v>
      </c>
      <c r="L8" s="44">
        <f t="shared" si="1"/>
        <v>1</v>
      </c>
      <c r="M8" s="44">
        <f t="shared" si="2"/>
        <v>1</v>
      </c>
      <c r="N8" s="44">
        <f t="shared" si="3"/>
        <v>1</v>
      </c>
      <c r="O8" s="44">
        <f t="shared" si="6"/>
        <v>0</v>
      </c>
      <c r="P8" s="44" t="str">
        <f t="shared" si="7"/>
        <v/>
      </c>
    </row>
    <row r="9" spans="1:19" x14ac:dyDescent="0.25">
      <c r="B9" s="18" t="s">
        <v>10</v>
      </c>
      <c r="C9" s="104">
        <v>6501111</v>
      </c>
      <c r="D9" s="107">
        <v>77.323143845980766</v>
      </c>
      <c r="E9" s="107">
        <v>77.323203978587571</v>
      </c>
      <c r="F9" s="107">
        <v>77.323185361418368</v>
      </c>
      <c r="G9" s="109">
        <f t="shared" si="4"/>
        <v>390.92875152826309</v>
      </c>
      <c r="H9" s="109">
        <f t="shared" si="5"/>
        <v>269.89646804332733</v>
      </c>
      <c r="I9" s="113"/>
      <c r="K9" s="89">
        <f t="shared" si="0"/>
        <v>1</v>
      </c>
      <c r="L9" s="89">
        <f t="shared" si="1"/>
        <v>1</v>
      </c>
      <c r="M9" s="89">
        <f t="shared" si="2"/>
        <v>1</v>
      </c>
      <c r="N9" s="89">
        <f t="shared" si="3"/>
        <v>1</v>
      </c>
      <c r="O9" s="89">
        <f t="shared" si="6"/>
        <v>0</v>
      </c>
      <c r="P9" s="89" t="str">
        <f t="shared" si="7"/>
        <v/>
      </c>
    </row>
    <row r="10" spans="1:19" x14ac:dyDescent="0.25">
      <c r="B10" s="18" t="s">
        <v>11</v>
      </c>
      <c r="C10" s="104">
        <v>7279927</v>
      </c>
      <c r="D10" s="107">
        <v>61.925213745047813</v>
      </c>
      <c r="E10" s="107">
        <v>61.92536672465171</v>
      </c>
      <c r="F10" s="107">
        <v>61.925418362692902</v>
      </c>
      <c r="G10" s="109">
        <f t="shared" si="4"/>
        <v>1113.6803488731384</v>
      </c>
      <c r="H10" s="109">
        <f t="shared" si="5"/>
        <v>1489.6015191674232</v>
      </c>
      <c r="I10" s="113"/>
      <c r="K10" s="89">
        <f t="shared" si="0"/>
        <v>1</v>
      </c>
      <c r="L10" s="89">
        <f t="shared" si="1"/>
        <v>1</v>
      </c>
      <c r="M10" s="89">
        <f t="shared" si="2"/>
        <v>1</v>
      </c>
      <c r="N10" s="89">
        <f t="shared" si="3"/>
        <v>1</v>
      </c>
      <c r="O10" s="89">
        <f t="shared" ref="O10:O14" si="8">IF(I10&gt;0,1,0)</f>
        <v>0</v>
      </c>
      <c r="P10" s="89" t="str">
        <f t="shared" ref="P10:P14" si="9">IF(I10=0,"",O10)</f>
        <v/>
      </c>
    </row>
    <row r="11" spans="1:19" x14ac:dyDescent="0.25">
      <c r="B11" s="18" t="s">
        <v>12</v>
      </c>
      <c r="C11" s="104">
        <v>5050982</v>
      </c>
      <c r="D11" s="107">
        <v>66.81695247332172</v>
      </c>
      <c r="E11" s="107">
        <v>66.817065204895215</v>
      </c>
      <c r="F11" s="107">
        <v>66.817076458360418</v>
      </c>
      <c r="G11" s="109">
        <f t="shared" si="4"/>
        <v>569.4051485657692</v>
      </c>
      <c r="H11" s="109">
        <f t="shared" si="5"/>
        <v>626.24619871377945</v>
      </c>
      <c r="I11" s="113"/>
      <c r="K11" s="89">
        <f t="shared" si="0"/>
        <v>1</v>
      </c>
      <c r="L11" s="89">
        <f t="shared" si="1"/>
        <v>1</v>
      </c>
      <c r="M11" s="89">
        <f t="shared" si="2"/>
        <v>1</v>
      </c>
      <c r="N11" s="89">
        <f t="shared" si="3"/>
        <v>1</v>
      </c>
      <c r="O11" s="89">
        <f t="shared" si="8"/>
        <v>0</v>
      </c>
      <c r="P11" s="89" t="str">
        <f t="shared" si="9"/>
        <v/>
      </c>
    </row>
    <row r="12" spans="1:19" x14ac:dyDescent="0.25">
      <c r="B12" s="18" t="s">
        <v>13</v>
      </c>
      <c r="C12" s="104">
        <v>4616011</v>
      </c>
      <c r="D12" s="107">
        <v>68.975036101886801</v>
      </c>
      <c r="E12" s="107">
        <v>68.975147647239979</v>
      </c>
      <c r="F12" s="107">
        <v>68.975134661805484</v>
      </c>
      <c r="G12" s="109">
        <f t="shared" si="4"/>
        <v>514.89457726478577</v>
      </c>
      <c r="H12" s="109">
        <f t="shared" si="5"/>
        <v>454.95366877317429</v>
      </c>
      <c r="I12" s="113"/>
      <c r="K12" s="89">
        <f t="shared" si="0"/>
        <v>1</v>
      </c>
      <c r="L12" s="89">
        <f t="shared" si="1"/>
        <v>1</v>
      </c>
      <c r="M12" s="89">
        <f t="shared" si="2"/>
        <v>1</v>
      </c>
      <c r="N12" s="89">
        <f t="shared" si="3"/>
        <v>1</v>
      </c>
      <c r="O12" s="89">
        <f t="shared" si="8"/>
        <v>0</v>
      </c>
      <c r="P12" s="89" t="str">
        <f t="shared" si="9"/>
        <v/>
      </c>
    </row>
    <row r="13" spans="1:19" x14ac:dyDescent="0.25">
      <c r="B13" s="18" t="s">
        <v>14</v>
      </c>
      <c r="C13" s="104">
        <v>4701015</v>
      </c>
      <c r="D13" s="107">
        <v>72.648214965877315</v>
      </c>
      <c r="E13" s="107">
        <v>72.64828737006286</v>
      </c>
      <c r="F13" s="107">
        <v>72.648266310695817</v>
      </c>
      <c r="G13" s="109">
        <f t="shared" si="4"/>
        <v>340.37316232919693</v>
      </c>
      <c r="H13" s="109">
        <f t="shared" si="5"/>
        <v>241.37276196479797</v>
      </c>
      <c r="I13" s="113"/>
      <c r="K13" s="89">
        <f t="shared" si="0"/>
        <v>1</v>
      </c>
      <c r="L13" s="89">
        <f t="shared" si="1"/>
        <v>1</v>
      </c>
      <c r="M13" s="89">
        <f t="shared" si="2"/>
        <v>1</v>
      </c>
      <c r="N13" s="89">
        <f t="shared" si="3"/>
        <v>1</v>
      </c>
      <c r="O13" s="89">
        <f t="shared" si="8"/>
        <v>0</v>
      </c>
      <c r="P13" s="89" t="str">
        <f t="shared" si="9"/>
        <v/>
      </c>
    </row>
    <row r="14" spans="1:19" x14ac:dyDescent="0.25">
      <c r="B14" s="18" t="s">
        <v>15</v>
      </c>
      <c r="C14" s="104">
        <v>4159448</v>
      </c>
      <c r="D14" s="107">
        <v>74.561155997724143</v>
      </c>
      <c r="E14" s="107">
        <v>74.561219777707066</v>
      </c>
      <c r="F14" s="107">
        <v>74.561201160567506</v>
      </c>
      <c r="G14" s="109">
        <f t="shared" si="4"/>
        <v>265.28952240943909</v>
      </c>
      <c r="H14" s="109">
        <f t="shared" si="5"/>
        <v>187.85249853134155</v>
      </c>
      <c r="I14" s="113"/>
      <c r="K14" s="89">
        <f t="shared" si="0"/>
        <v>1</v>
      </c>
      <c r="L14" s="89">
        <f t="shared" si="1"/>
        <v>1</v>
      </c>
      <c r="M14" s="89">
        <f t="shared" si="2"/>
        <v>1</v>
      </c>
      <c r="N14" s="89">
        <f t="shared" si="3"/>
        <v>1</v>
      </c>
      <c r="O14" s="89">
        <f t="shared" si="8"/>
        <v>0</v>
      </c>
      <c r="P14" s="89" t="str">
        <f t="shared" si="9"/>
        <v/>
      </c>
    </row>
    <row r="15" spans="1:19" x14ac:dyDescent="0.25">
      <c r="J15" s="112" t="s">
        <v>54</v>
      </c>
      <c r="K15" s="28"/>
      <c r="L15" s="59">
        <f>MIN(L5:L14)</f>
        <v>1</v>
      </c>
      <c r="M15" s="59"/>
      <c r="N15" s="59">
        <f>MIN(N5:N14)</f>
        <v>1</v>
      </c>
      <c r="O15" s="59"/>
      <c r="P15" s="59">
        <f>MIN(P5:P14)</f>
        <v>0</v>
      </c>
    </row>
    <row r="16" spans="1:19" x14ac:dyDescent="0.25">
      <c r="J16" s="112" t="s">
        <v>55</v>
      </c>
      <c r="K16" s="28"/>
      <c r="L16" s="59">
        <f>MAX(L5:L14)</f>
        <v>1</v>
      </c>
      <c r="M16" s="59"/>
      <c r="N16" s="59">
        <f>MAX(N5:N14)</f>
        <v>1</v>
      </c>
      <c r="O16" s="59"/>
      <c r="P16" s="59">
        <f>MAX(P6:P14)</f>
        <v>0</v>
      </c>
    </row>
    <row r="17" spans="10:16" x14ac:dyDescent="0.25">
      <c r="J17" s="112" t="s">
        <v>56</v>
      </c>
      <c r="K17" s="28"/>
      <c r="L17" s="59">
        <f>L15+L16</f>
        <v>2</v>
      </c>
      <c r="M17" s="59"/>
      <c r="N17" s="59">
        <f t="shared" ref="N17:P17" si="10">N15+N16</f>
        <v>2</v>
      </c>
      <c r="O17" s="59"/>
      <c r="P17" s="59">
        <f t="shared" si="10"/>
        <v>0</v>
      </c>
    </row>
    <row r="18" spans="10:16" ht="30.75" customHeight="1" x14ac:dyDescent="0.25">
      <c r="K18" s="143" t="str">
        <f>IF(L17=2, "2 dominates 1", IF(L17=0, "1 dominates 2", "No dominance"))</f>
        <v>2 dominates 1</v>
      </c>
      <c r="L18" s="143"/>
      <c r="M18" s="143" t="str">
        <f>IF(N17=2, "3 dominates 1", IF(N17=0, "1 dominates 3", "No dominance"))</f>
        <v>3 dominates 1</v>
      </c>
      <c r="N18" s="143"/>
      <c r="O18" s="143" t="str">
        <f>IF(P17=2, "3 dominates 2", IF(P17=0, "2 dominates 3", "No dominance"))</f>
        <v>2 dominates 3</v>
      </c>
      <c r="P18" s="143"/>
    </row>
  </sheetData>
  <mergeCells count="9">
    <mergeCell ref="K18:L18"/>
    <mergeCell ref="M18:N18"/>
    <mergeCell ref="O18:P18"/>
    <mergeCell ref="B3:F3"/>
    <mergeCell ref="K4:L4"/>
    <mergeCell ref="G3:I3"/>
    <mergeCell ref="K3:P3"/>
    <mergeCell ref="M4:N4"/>
    <mergeCell ref="O4:P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8"/>
  <sheetViews>
    <sheetView zoomScaleNormal="100" workbookViewId="0"/>
  </sheetViews>
  <sheetFormatPr defaultColWidth="8.85546875" defaultRowHeight="15" x14ac:dyDescent="0.25"/>
  <cols>
    <col min="1" max="1" width="5.140625" style="5" customWidth="1"/>
    <col min="2" max="4" width="11.85546875" style="2" customWidth="1"/>
    <col min="5" max="5" width="12" style="2" customWidth="1"/>
    <col min="6" max="8" width="11.85546875" style="2" customWidth="1"/>
    <col min="9" max="10" width="11.85546875" style="4" customWidth="1"/>
    <col min="11" max="30" width="11.85546875" style="5" customWidth="1"/>
    <col min="31" max="16384" width="8.85546875" style="5"/>
  </cols>
  <sheetData>
    <row r="1" spans="1:13" s="115" customFormat="1" ht="18.75" x14ac:dyDescent="0.3">
      <c r="A1" s="115" t="s">
        <v>60</v>
      </c>
      <c r="B1" s="116"/>
      <c r="C1" s="116"/>
      <c r="D1" s="116"/>
      <c r="E1" s="116"/>
      <c r="F1" s="116"/>
      <c r="G1" s="116"/>
      <c r="H1" s="116"/>
      <c r="I1" s="117"/>
      <c r="J1" s="117"/>
    </row>
    <row r="3" spans="1:13" ht="29.25" customHeight="1" x14ac:dyDescent="0.25">
      <c r="B3" s="148" t="s">
        <v>41</v>
      </c>
      <c r="C3" s="148"/>
      <c r="D3" s="148"/>
      <c r="E3" s="148"/>
      <c r="F3" s="148"/>
      <c r="G3" s="148"/>
    </row>
    <row r="4" spans="1:13" s="6" customFormat="1" ht="51" x14ac:dyDescent="0.25">
      <c r="B4" s="21" t="s">
        <v>43</v>
      </c>
      <c r="C4" s="21" t="s">
        <v>40</v>
      </c>
      <c r="D4" s="21" t="s">
        <v>42</v>
      </c>
      <c r="E4" s="21" t="s">
        <v>57</v>
      </c>
      <c r="F4" s="21" t="s">
        <v>61</v>
      </c>
      <c r="G4" s="21" t="s">
        <v>21</v>
      </c>
      <c r="H4" s="7"/>
      <c r="I4" s="10"/>
      <c r="J4" s="10"/>
    </row>
    <row r="5" spans="1:13" x14ac:dyDescent="0.25">
      <c r="B5" s="18" t="s">
        <v>6</v>
      </c>
      <c r="C5" s="106"/>
      <c r="D5" s="104">
        <v>3959316</v>
      </c>
      <c r="E5" s="105">
        <v>65.953454828519668</v>
      </c>
      <c r="F5" s="105">
        <v>65.95356057161824</v>
      </c>
      <c r="G5" s="105">
        <v>65.953577414517284</v>
      </c>
      <c r="I5" s="9"/>
      <c r="J5" s="9"/>
      <c r="L5" s="8"/>
      <c r="M5" s="8"/>
    </row>
    <row r="6" spans="1:13" x14ac:dyDescent="0.25">
      <c r="B6" s="18" t="s">
        <v>7</v>
      </c>
      <c r="C6" s="106"/>
      <c r="D6" s="104">
        <v>6331048</v>
      </c>
      <c r="E6" s="105">
        <v>70.344928147144799</v>
      </c>
      <c r="F6" s="105">
        <v>70.345009341331306</v>
      </c>
      <c r="G6" s="105">
        <v>70.345002492322649</v>
      </c>
      <c r="I6" s="9"/>
      <c r="J6" s="9"/>
      <c r="L6" s="8"/>
      <c r="M6" s="8"/>
    </row>
    <row r="7" spans="1:13" x14ac:dyDescent="0.25">
      <c r="B7" s="18" t="s">
        <v>8</v>
      </c>
      <c r="C7" s="106"/>
      <c r="D7" s="104">
        <v>6474305</v>
      </c>
      <c r="E7" s="105">
        <v>72.213544204351976</v>
      </c>
      <c r="F7" s="105">
        <v>72.213646949791766</v>
      </c>
      <c r="G7" s="105">
        <v>72.213622276246156</v>
      </c>
      <c r="I7" s="9"/>
      <c r="J7" s="9"/>
      <c r="L7" s="8"/>
      <c r="M7" s="8"/>
    </row>
    <row r="8" spans="1:13" x14ac:dyDescent="0.25">
      <c r="B8" s="18" t="s">
        <v>9</v>
      </c>
      <c r="C8" s="106"/>
      <c r="D8" s="104">
        <v>6194904</v>
      </c>
      <c r="E8" s="105">
        <v>75.597859352178702</v>
      </c>
      <c r="F8" s="105">
        <v>75.597916460553989</v>
      </c>
      <c r="G8" s="105">
        <v>75.597895401169012</v>
      </c>
      <c r="I8" s="9"/>
      <c r="J8" s="9"/>
      <c r="L8" s="8"/>
      <c r="M8" s="8"/>
    </row>
    <row r="9" spans="1:13" x14ac:dyDescent="0.25">
      <c r="B9" s="18" t="s">
        <v>10</v>
      </c>
      <c r="C9" s="106"/>
      <c r="D9" s="104">
        <v>6501111</v>
      </c>
      <c r="E9" s="105">
        <v>77.323143845980766</v>
      </c>
      <c r="F9" s="105">
        <v>77.323203978587571</v>
      </c>
      <c r="G9" s="105">
        <v>77.323185361418368</v>
      </c>
      <c r="I9" s="9"/>
      <c r="J9" s="9"/>
      <c r="L9" s="8"/>
      <c r="M9" s="8"/>
    </row>
    <row r="10" spans="1:13" x14ac:dyDescent="0.25">
      <c r="B10" s="18" t="s">
        <v>11</v>
      </c>
      <c r="C10" s="106"/>
      <c r="D10" s="104">
        <v>7279927</v>
      </c>
      <c r="E10" s="105">
        <v>61.925213745047813</v>
      </c>
      <c r="F10" s="105">
        <v>61.92536672465171</v>
      </c>
      <c r="G10" s="105">
        <v>61.925418362692902</v>
      </c>
      <c r="I10" s="9"/>
      <c r="J10" s="9"/>
      <c r="L10" s="8"/>
      <c r="M10" s="8"/>
    </row>
    <row r="11" spans="1:13" x14ac:dyDescent="0.25">
      <c r="B11" s="18" t="s">
        <v>12</v>
      </c>
      <c r="C11" s="106"/>
      <c r="D11" s="104">
        <v>5050982</v>
      </c>
      <c r="E11" s="105">
        <v>66.81695247332172</v>
      </c>
      <c r="F11" s="105">
        <v>66.817065204895215</v>
      </c>
      <c r="G11" s="105">
        <v>66.817076458360418</v>
      </c>
      <c r="I11" s="9"/>
      <c r="J11" s="9"/>
      <c r="L11" s="8"/>
      <c r="M11" s="8"/>
    </row>
    <row r="12" spans="1:13" x14ac:dyDescent="0.25">
      <c r="B12" s="18" t="s">
        <v>13</v>
      </c>
      <c r="C12" s="106"/>
      <c r="D12" s="104">
        <v>4616011</v>
      </c>
      <c r="E12" s="105">
        <v>68.975036101886801</v>
      </c>
      <c r="F12" s="105">
        <v>68.975147647239979</v>
      </c>
      <c r="G12" s="105">
        <v>68.975134661805484</v>
      </c>
      <c r="I12" s="9"/>
      <c r="J12" s="9"/>
      <c r="L12" s="8"/>
      <c r="M12" s="8"/>
    </row>
    <row r="13" spans="1:13" x14ac:dyDescent="0.25">
      <c r="B13" s="18" t="s">
        <v>14</v>
      </c>
      <c r="C13" s="106"/>
      <c r="D13" s="104">
        <v>4701015</v>
      </c>
      <c r="E13" s="105">
        <v>72.648214965877315</v>
      </c>
      <c r="F13" s="105">
        <v>72.64828737006286</v>
      </c>
      <c r="G13" s="105">
        <v>72.648266310695817</v>
      </c>
      <c r="I13" s="9"/>
      <c r="J13" s="9"/>
      <c r="L13" s="8"/>
      <c r="M13" s="8"/>
    </row>
    <row r="14" spans="1:13" x14ac:dyDescent="0.25">
      <c r="B14" s="18" t="s">
        <v>15</v>
      </c>
      <c r="C14" s="106"/>
      <c r="D14" s="104">
        <v>4159448</v>
      </c>
      <c r="E14" s="105">
        <v>74.561155997724143</v>
      </c>
      <c r="F14" s="105">
        <v>74.561219777707066</v>
      </c>
      <c r="G14" s="105">
        <v>74.561201160567506</v>
      </c>
      <c r="I14" s="9"/>
      <c r="J14" s="9"/>
      <c r="L14" s="8"/>
      <c r="M14" s="8"/>
    </row>
    <row r="15" spans="1:13" x14ac:dyDescent="0.25">
      <c r="B15" s="18" t="s">
        <v>44</v>
      </c>
      <c r="C15" s="23"/>
      <c r="D15" s="17"/>
      <c r="E15" s="142">
        <f>SUMPRODUCT($D$5:$D$14,E5:E14)/SUM($D$5:$D$14)</f>
        <v>70.626197272843712</v>
      </c>
      <c r="F15" s="142">
        <f t="shared" ref="F15:G15" si="0">SUMPRODUCT($D$5:$D$14,F5:F14)/SUM($D$5:$D$14)</f>
        <v>70.626290387595915</v>
      </c>
      <c r="G15" s="142">
        <f t="shared" si="0"/>
        <v>70.62628692215236</v>
      </c>
      <c r="I15" s="9"/>
      <c r="J15" s="9"/>
      <c r="L15" s="8"/>
      <c r="M15" s="8"/>
    </row>
    <row r="16" spans="1:13" x14ac:dyDescent="0.25">
      <c r="B16" s="13"/>
      <c r="C16" s="16"/>
      <c r="D16" s="14"/>
      <c r="E16" s="14"/>
      <c r="F16" s="15"/>
      <c r="G16" s="15"/>
      <c r="I16" s="9"/>
      <c r="J16" s="9"/>
      <c r="L16" s="8"/>
      <c r="M16" s="8"/>
    </row>
    <row r="17" spans="2:7" ht="33.75" customHeight="1" x14ac:dyDescent="0.25">
      <c r="B17" s="148" t="s">
        <v>89</v>
      </c>
      <c r="C17" s="148"/>
      <c r="D17" s="148"/>
      <c r="E17" s="148"/>
      <c r="F17" s="148"/>
      <c r="G17" s="148"/>
    </row>
    <row r="18" spans="2:7" ht="51" x14ac:dyDescent="0.25">
      <c r="B18" s="49" t="s">
        <v>40</v>
      </c>
      <c r="C18" s="21" t="s">
        <v>62</v>
      </c>
      <c r="D18" s="21" t="s">
        <v>63</v>
      </c>
      <c r="E18" s="21" t="s">
        <v>64</v>
      </c>
      <c r="F18" s="21" t="s">
        <v>87</v>
      </c>
      <c r="G18" s="21" t="s">
        <v>88</v>
      </c>
    </row>
    <row r="19" spans="2:7" x14ac:dyDescent="0.25">
      <c r="B19" s="25">
        <v>0</v>
      </c>
      <c r="C19" s="127"/>
      <c r="D19" s="29">
        <v>0</v>
      </c>
      <c r="E19" s="29">
        <v>0</v>
      </c>
      <c r="F19" s="29">
        <v>0</v>
      </c>
      <c r="G19" s="27">
        <v>0</v>
      </c>
    </row>
    <row r="20" spans="2:7" x14ac:dyDescent="0.25">
      <c r="B20" s="26">
        <v>1</v>
      </c>
      <c r="C20" s="127"/>
      <c r="D20" s="59" t="e">
        <f t="shared" ref="D20:D29" si="1">VLOOKUP($B20,$C$5:$G$14,4,0)</f>
        <v>#N/A</v>
      </c>
      <c r="E20" s="59" t="e">
        <f t="shared" ref="E20:E29" si="2">VLOOKUP($B20,$C$5:$G$14,5,0)</f>
        <v>#N/A</v>
      </c>
      <c r="F20" s="127"/>
      <c r="G20" s="127"/>
    </row>
    <row r="21" spans="2:7" x14ac:dyDescent="0.25">
      <c r="B21" s="26">
        <v>2</v>
      </c>
      <c r="C21" s="127"/>
      <c r="D21" s="59" t="e">
        <f t="shared" si="1"/>
        <v>#N/A</v>
      </c>
      <c r="E21" s="59" t="e">
        <f t="shared" si="2"/>
        <v>#N/A</v>
      </c>
      <c r="F21" s="127"/>
      <c r="G21" s="127"/>
    </row>
    <row r="22" spans="2:7" x14ac:dyDescent="0.25">
      <c r="B22" s="26">
        <v>3</v>
      </c>
      <c r="C22" s="127"/>
      <c r="D22" s="59" t="e">
        <f t="shared" si="1"/>
        <v>#N/A</v>
      </c>
      <c r="E22" s="59" t="e">
        <f t="shared" si="2"/>
        <v>#N/A</v>
      </c>
      <c r="F22" s="127"/>
      <c r="G22" s="127"/>
    </row>
    <row r="23" spans="2:7" x14ac:dyDescent="0.25">
      <c r="B23" s="26">
        <v>4</v>
      </c>
      <c r="C23" s="127"/>
      <c r="D23" s="59" t="e">
        <f t="shared" si="1"/>
        <v>#N/A</v>
      </c>
      <c r="E23" s="59" t="e">
        <f t="shared" si="2"/>
        <v>#N/A</v>
      </c>
      <c r="F23" s="127"/>
      <c r="G23" s="127"/>
    </row>
    <row r="24" spans="2:7" x14ac:dyDescent="0.25">
      <c r="B24" s="26">
        <v>5</v>
      </c>
      <c r="C24" s="127"/>
      <c r="D24" s="59" t="e">
        <f t="shared" si="1"/>
        <v>#N/A</v>
      </c>
      <c r="E24" s="59" t="e">
        <f t="shared" si="2"/>
        <v>#N/A</v>
      </c>
      <c r="F24" s="127"/>
      <c r="G24" s="127"/>
    </row>
    <row r="25" spans="2:7" x14ac:dyDescent="0.25">
      <c r="B25" s="26">
        <v>6</v>
      </c>
      <c r="C25" s="127"/>
      <c r="D25" s="59" t="e">
        <f t="shared" si="1"/>
        <v>#N/A</v>
      </c>
      <c r="E25" s="59" t="e">
        <f t="shared" si="2"/>
        <v>#N/A</v>
      </c>
      <c r="F25" s="127"/>
      <c r="G25" s="127"/>
    </row>
    <row r="26" spans="2:7" x14ac:dyDescent="0.25">
      <c r="B26" s="26">
        <v>7</v>
      </c>
      <c r="C26" s="127"/>
      <c r="D26" s="59" t="e">
        <f t="shared" si="1"/>
        <v>#N/A</v>
      </c>
      <c r="E26" s="59" t="e">
        <f t="shared" si="2"/>
        <v>#N/A</v>
      </c>
      <c r="F26" s="127"/>
      <c r="G26" s="127"/>
    </row>
    <row r="27" spans="2:7" x14ac:dyDescent="0.25">
      <c r="B27" s="26">
        <v>8</v>
      </c>
      <c r="C27" s="127"/>
      <c r="D27" s="59" t="e">
        <f t="shared" si="1"/>
        <v>#N/A</v>
      </c>
      <c r="E27" s="59" t="e">
        <f t="shared" si="2"/>
        <v>#N/A</v>
      </c>
      <c r="F27" s="127"/>
      <c r="G27" s="127"/>
    </row>
    <row r="28" spans="2:7" x14ac:dyDescent="0.25">
      <c r="B28" s="26">
        <v>9</v>
      </c>
      <c r="C28" s="127"/>
      <c r="D28" s="59" t="e">
        <f t="shared" si="1"/>
        <v>#N/A</v>
      </c>
      <c r="E28" s="59" t="e">
        <f t="shared" si="2"/>
        <v>#N/A</v>
      </c>
      <c r="F28" s="127"/>
      <c r="G28" s="127"/>
    </row>
    <row r="29" spans="2:7" x14ac:dyDescent="0.25">
      <c r="B29" s="26">
        <v>10</v>
      </c>
      <c r="C29" s="127"/>
      <c r="D29" s="59" t="e">
        <f t="shared" si="1"/>
        <v>#N/A</v>
      </c>
      <c r="E29" s="59" t="e">
        <f t="shared" si="2"/>
        <v>#N/A</v>
      </c>
      <c r="F29" s="127"/>
      <c r="G29" s="127"/>
    </row>
    <row r="31" spans="2:7" x14ac:dyDescent="0.25">
      <c r="B31" s="55" t="s">
        <v>30</v>
      </c>
      <c r="C31" s="54"/>
    </row>
    <row r="32" spans="2:7" x14ac:dyDescent="0.25">
      <c r="B32" s="68" t="e">
        <f>IF(G55=2, "2 dominates 1", IF(G55=0, "1 dominates 2", "2 &amp; 1 cross"))</f>
        <v>#N/A</v>
      </c>
      <c r="C32" s="42"/>
    </row>
    <row r="33" spans="2:15" x14ac:dyDescent="0.25">
      <c r="B33" s="68" t="e">
        <f>IF(I55=2, "3 dominates 1", IF(I55=0, "1 dominates 3", "3 &amp; 1 cross"))</f>
        <v>#N/A</v>
      </c>
      <c r="C33" s="42"/>
      <c r="I33" s="2"/>
      <c r="J33" s="12"/>
      <c r="K33" s="12"/>
      <c r="L33" s="12"/>
      <c r="M33" s="12"/>
      <c r="N33" s="11"/>
      <c r="O33" s="12"/>
    </row>
    <row r="34" spans="2:15" x14ac:dyDescent="0.25">
      <c r="B34" s="68" t="e">
        <f>IF(K55=2, "3 dominates 2", IF(K55=0, "2 dominates 3", "2 &amp; 3 cross"))</f>
        <v>#N/A</v>
      </c>
      <c r="C34" s="42"/>
      <c r="I34" s="2"/>
      <c r="J34" s="12"/>
      <c r="K34" s="12"/>
      <c r="L34" s="12"/>
      <c r="M34" s="12"/>
      <c r="N34" s="11"/>
      <c r="O34" s="12"/>
    </row>
    <row r="35" spans="2:15" x14ac:dyDescent="0.25">
      <c r="I35" s="9"/>
      <c r="J35" s="9"/>
      <c r="K35" s="1"/>
    </row>
    <row r="36" spans="2:15" x14ac:dyDescent="0.25">
      <c r="I36" s="9"/>
      <c r="J36" s="9"/>
      <c r="K36" s="1"/>
    </row>
    <row r="37" spans="2:15" x14ac:dyDescent="0.25">
      <c r="I37" s="9"/>
      <c r="J37" s="9"/>
      <c r="K37" s="1"/>
    </row>
    <row r="38" spans="2:15" x14ac:dyDescent="0.25">
      <c r="I38" s="9"/>
      <c r="J38" s="9"/>
      <c r="K38" s="1"/>
    </row>
    <row r="39" spans="2:15" x14ac:dyDescent="0.25">
      <c r="M39" s="8"/>
    </row>
    <row r="40" spans="2:15" x14ac:dyDescent="0.25">
      <c r="B40" s="30" t="s">
        <v>18</v>
      </c>
      <c r="D40" s="31"/>
      <c r="E40" s="31"/>
      <c r="F40" s="32"/>
      <c r="G40" s="33"/>
      <c r="H40" s="33"/>
      <c r="I40" s="32"/>
      <c r="J40" s="32"/>
      <c r="K40" s="31"/>
      <c r="L40" s="34"/>
      <c r="M40" s="33"/>
    </row>
    <row r="41" spans="2:15" x14ac:dyDescent="0.25">
      <c r="B41" s="25" t="s">
        <v>66</v>
      </c>
      <c r="C41" s="40" t="s">
        <v>22</v>
      </c>
      <c r="D41" s="40" t="s">
        <v>23</v>
      </c>
      <c r="E41" s="66" t="s">
        <v>25</v>
      </c>
      <c r="F41" s="145" t="s">
        <v>26</v>
      </c>
      <c r="G41" s="145"/>
      <c r="H41" s="145" t="s">
        <v>27</v>
      </c>
      <c r="I41" s="145"/>
      <c r="J41" s="145" t="s">
        <v>28</v>
      </c>
      <c r="K41" s="145"/>
    </row>
    <row r="42" spans="2:15" x14ac:dyDescent="0.25">
      <c r="B42" s="25">
        <v>0</v>
      </c>
      <c r="C42" s="29">
        <v>0</v>
      </c>
      <c r="D42" s="22">
        <v>0</v>
      </c>
      <c r="E42" s="28">
        <v>0</v>
      </c>
      <c r="F42" s="28"/>
      <c r="G42" s="41"/>
      <c r="H42" s="41"/>
      <c r="I42" s="28"/>
      <c r="J42" s="42"/>
      <c r="K42" s="43"/>
    </row>
    <row r="43" spans="2:15" x14ac:dyDescent="0.25">
      <c r="B43" s="26">
        <v>1</v>
      </c>
      <c r="C43" s="128" t="e">
        <f t="shared" ref="C43:C52" si="3">D20-C20</f>
        <v>#N/A</v>
      </c>
      <c r="D43" s="128" t="e">
        <f t="shared" ref="D43:D52" si="4">E20-C20</f>
        <v>#N/A</v>
      </c>
      <c r="E43" s="128" t="e">
        <f t="shared" ref="E43:E52" si="5">E20-D20</f>
        <v>#N/A</v>
      </c>
      <c r="F43" s="44" t="e">
        <f t="shared" ref="F43:F52" si="6">IF(C43&gt;0,1,0)</f>
        <v>#N/A</v>
      </c>
      <c r="G43" s="44" t="e">
        <f t="shared" ref="G43:G52" si="7">IF(C43=0,"",F43)</f>
        <v>#N/A</v>
      </c>
      <c r="H43" s="44" t="e">
        <f t="shared" ref="H43:H52" si="8">IF(D43&gt;0, 1,0)</f>
        <v>#N/A</v>
      </c>
      <c r="I43" s="44" t="e">
        <f t="shared" ref="I43:I52" si="9">IF(D43=0,"",H43)</f>
        <v>#N/A</v>
      </c>
      <c r="J43" s="44" t="e">
        <f>IF(E43&gt;0,1,0)</f>
        <v>#N/A</v>
      </c>
      <c r="K43" s="45" t="e">
        <f>IF(E43=0,"",J43)</f>
        <v>#N/A</v>
      </c>
    </row>
    <row r="44" spans="2:15" x14ac:dyDescent="0.25">
      <c r="B44" s="26">
        <v>2</v>
      </c>
      <c r="C44" s="128" t="e">
        <f t="shared" si="3"/>
        <v>#N/A</v>
      </c>
      <c r="D44" s="128" t="e">
        <f t="shared" si="4"/>
        <v>#N/A</v>
      </c>
      <c r="E44" s="128" t="e">
        <f t="shared" si="5"/>
        <v>#N/A</v>
      </c>
      <c r="F44" s="44" t="e">
        <f t="shared" si="6"/>
        <v>#N/A</v>
      </c>
      <c r="G44" s="44" t="e">
        <f t="shared" si="7"/>
        <v>#N/A</v>
      </c>
      <c r="H44" s="44" t="e">
        <f t="shared" si="8"/>
        <v>#N/A</v>
      </c>
      <c r="I44" s="44" t="e">
        <f t="shared" si="9"/>
        <v>#N/A</v>
      </c>
      <c r="J44" s="44" t="e">
        <f t="shared" ref="J44:J52" si="10">IF(E44&gt;0,1,0)</f>
        <v>#N/A</v>
      </c>
      <c r="K44" s="45" t="e">
        <f t="shared" ref="K44:K52" si="11">IF(E44=0,"",J44)</f>
        <v>#N/A</v>
      </c>
    </row>
    <row r="45" spans="2:15" x14ac:dyDescent="0.25">
      <c r="B45" s="26">
        <v>3</v>
      </c>
      <c r="C45" s="128" t="e">
        <f t="shared" si="3"/>
        <v>#N/A</v>
      </c>
      <c r="D45" s="128" t="e">
        <f t="shared" si="4"/>
        <v>#N/A</v>
      </c>
      <c r="E45" s="128" t="e">
        <f t="shared" si="5"/>
        <v>#N/A</v>
      </c>
      <c r="F45" s="44" t="e">
        <f t="shared" si="6"/>
        <v>#N/A</v>
      </c>
      <c r="G45" s="44" t="e">
        <f t="shared" si="7"/>
        <v>#N/A</v>
      </c>
      <c r="H45" s="44" t="e">
        <f t="shared" si="8"/>
        <v>#N/A</v>
      </c>
      <c r="I45" s="44" t="e">
        <f t="shared" si="9"/>
        <v>#N/A</v>
      </c>
      <c r="J45" s="44" t="e">
        <f t="shared" si="10"/>
        <v>#N/A</v>
      </c>
      <c r="K45" s="45" t="e">
        <f t="shared" si="11"/>
        <v>#N/A</v>
      </c>
    </row>
    <row r="46" spans="2:15" x14ac:dyDescent="0.25">
      <c r="B46" s="26">
        <v>4</v>
      </c>
      <c r="C46" s="128" t="e">
        <f t="shared" si="3"/>
        <v>#N/A</v>
      </c>
      <c r="D46" s="128" t="e">
        <f t="shared" si="4"/>
        <v>#N/A</v>
      </c>
      <c r="E46" s="128" t="e">
        <f t="shared" si="5"/>
        <v>#N/A</v>
      </c>
      <c r="F46" s="44" t="e">
        <f t="shared" si="6"/>
        <v>#N/A</v>
      </c>
      <c r="G46" s="44" t="e">
        <f t="shared" si="7"/>
        <v>#N/A</v>
      </c>
      <c r="H46" s="44" t="e">
        <f t="shared" si="8"/>
        <v>#N/A</v>
      </c>
      <c r="I46" s="44" t="e">
        <f t="shared" si="9"/>
        <v>#N/A</v>
      </c>
      <c r="J46" s="44" t="e">
        <f t="shared" si="10"/>
        <v>#N/A</v>
      </c>
      <c r="K46" s="45" t="e">
        <f t="shared" si="11"/>
        <v>#N/A</v>
      </c>
    </row>
    <row r="47" spans="2:15" x14ac:dyDescent="0.25">
      <c r="B47" s="26">
        <v>5</v>
      </c>
      <c r="C47" s="128" t="e">
        <f t="shared" si="3"/>
        <v>#N/A</v>
      </c>
      <c r="D47" s="128" t="e">
        <f t="shared" si="4"/>
        <v>#N/A</v>
      </c>
      <c r="E47" s="128" t="e">
        <f t="shared" si="5"/>
        <v>#N/A</v>
      </c>
      <c r="F47" s="44" t="e">
        <f t="shared" si="6"/>
        <v>#N/A</v>
      </c>
      <c r="G47" s="44" t="e">
        <f t="shared" si="7"/>
        <v>#N/A</v>
      </c>
      <c r="H47" s="44" t="e">
        <f t="shared" si="8"/>
        <v>#N/A</v>
      </c>
      <c r="I47" s="44" t="e">
        <f t="shared" si="9"/>
        <v>#N/A</v>
      </c>
      <c r="J47" s="44" t="e">
        <f t="shared" si="10"/>
        <v>#N/A</v>
      </c>
      <c r="K47" s="45" t="e">
        <f t="shared" si="11"/>
        <v>#N/A</v>
      </c>
    </row>
    <row r="48" spans="2:15" x14ac:dyDescent="0.25">
      <c r="B48" s="26">
        <v>6</v>
      </c>
      <c r="C48" s="128" t="e">
        <f t="shared" si="3"/>
        <v>#N/A</v>
      </c>
      <c r="D48" s="128" t="e">
        <f t="shared" si="4"/>
        <v>#N/A</v>
      </c>
      <c r="E48" s="128" t="e">
        <f t="shared" si="5"/>
        <v>#N/A</v>
      </c>
      <c r="F48" s="44" t="e">
        <f t="shared" si="6"/>
        <v>#N/A</v>
      </c>
      <c r="G48" s="44" t="e">
        <f t="shared" si="7"/>
        <v>#N/A</v>
      </c>
      <c r="H48" s="44" t="e">
        <f t="shared" si="8"/>
        <v>#N/A</v>
      </c>
      <c r="I48" s="44" t="e">
        <f t="shared" si="9"/>
        <v>#N/A</v>
      </c>
      <c r="J48" s="44" t="e">
        <f t="shared" si="10"/>
        <v>#N/A</v>
      </c>
      <c r="K48" s="45" t="e">
        <f t="shared" si="11"/>
        <v>#N/A</v>
      </c>
    </row>
    <row r="49" spans="2:11" x14ac:dyDescent="0.25">
      <c r="B49" s="26">
        <v>7</v>
      </c>
      <c r="C49" s="128" t="e">
        <f t="shared" si="3"/>
        <v>#N/A</v>
      </c>
      <c r="D49" s="128" t="e">
        <f t="shared" si="4"/>
        <v>#N/A</v>
      </c>
      <c r="E49" s="128" t="e">
        <f t="shared" si="5"/>
        <v>#N/A</v>
      </c>
      <c r="F49" s="44" t="e">
        <f t="shared" si="6"/>
        <v>#N/A</v>
      </c>
      <c r="G49" s="44" t="e">
        <f t="shared" si="7"/>
        <v>#N/A</v>
      </c>
      <c r="H49" s="44" t="e">
        <f t="shared" si="8"/>
        <v>#N/A</v>
      </c>
      <c r="I49" s="44" t="e">
        <f t="shared" si="9"/>
        <v>#N/A</v>
      </c>
      <c r="J49" s="44" t="e">
        <f t="shared" si="10"/>
        <v>#N/A</v>
      </c>
      <c r="K49" s="45" t="e">
        <f t="shared" si="11"/>
        <v>#N/A</v>
      </c>
    </row>
    <row r="50" spans="2:11" x14ac:dyDescent="0.25">
      <c r="B50" s="26">
        <v>8</v>
      </c>
      <c r="C50" s="128" t="e">
        <f t="shared" si="3"/>
        <v>#N/A</v>
      </c>
      <c r="D50" s="128" t="e">
        <f t="shared" si="4"/>
        <v>#N/A</v>
      </c>
      <c r="E50" s="128" t="e">
        <f t="shared" si="5"/>
        <v>#N/A</v>
      </c>
      <c r="F50" s="44" t="e">
        <f t="shared" si="6"/>
        <v>#N/A</v>
      </c>
      <c r="G50" s="44" t="e">
        <f t="shared" si="7"/>
        <v>#N/A</v>
      </c>
      <c r="H50" s="44" t="e">
        <f t="shared" si="8"/>
        <v>#N/A</v>
      </c>
      <c r="I50" s="44" t="e">
        <f t="shared" si="9"/>
        <v>#N/A</v>
      </c>
      <c r="J50" s="44" t="e">
        <f t="shared" si="10"/>
        <v>#N/A</v>
      </c>
      <c r="K50" s="45" t="e">
        <f t="shared" si="11"/>
        <v>#N/A</v>
      </c>
    </row>
    <row r="51" spans="2:11" x14ac:dyDescent="0.25">
      <c r="B51" s="26">
        <v>9</v>
      </c>
      <c r="C51" s="128" t="e">
        <f t="shared" si="3"/>
        <v>#N/A</v>
      </c>
      <c r="D51" s="128" t="e">
        <f t="shared" si="4"/>
        <v>#N/A</v>
      </c>
      <c r="E51" s="128" t="e">
        <f t="shared" si="5"/>
        <v>#N/A</v>
      </c>
      <c r="F51" s="44" t="e">
        <f t="shared" si="6"/>
        <v>#N/A</v>
      </c>
      <c r="G51" s="44" t="e">
        <f t="shared" si="7"/>
        <v>#N/A</v>
      </c>
      <c r="H51" s="44" t="e">
        <f t="shared" si="8"/>
        <v>#N/A</v>
      </c>
      <c r="I51" s="44" t="e">
        <f t="shared" si="9"/>
        <v>#N/A</v>
      </c>
      <c r="J51" s="44" t="e">
        <f t="shared" si="10"/>
        <v>#N/A</v>
      </c>
      <c r="K51" s="45" t="e">
        <f t="shared" si="11"/>
        <v>#N/A</v>
      </c>
    </row>
    <row r="52" spans="2:11" x14ac:dyDescent="0.25">
      <c r="B52" s="26">
        <v>10</v>
      </c>
      <c r="C52" s="128" t="e">
        <f t="shared" si="3"/>
        <v>#N/A</v>
      </c>
      <c r="D52" s="128" t="e">
        <f t="shared" si="4"/>
        <v>#N/A</v>
      </c>
      <c r="E52" s="128" t="e">
        <f t="shared" si="5"/>
        <v>#N/A</v>
      </c>
      <c r="F52" s="44" t="e">
        <f t="shared" si="6"/>
        <v>#N/A</v>
      </c>
      <c r="G52" s="44" t="e">
        <f t="shared" si="7"/>
        <v>#N/A</v>
      </c>
      <c r="H52" s="44" t="e">
        <f t="shared" si="8"/>
        <v>#N/A</v>
      </c>
      <c r="I52" s="44" t="e">
        <f t="shared" si="9"/>
        <v>#N/A</v>
      </c>
      <c r="J52" s="44" t="e">
        <f t="shared" si="10"/>
        <v>#N/A</v>
      </c>
      <c r="K52" s="45" t="e">
        <f t="shared" si="11"/>
        <v>#N/A</v>
      </c>
    </row>
    <row r="53" spans="2:11" x14ac:dyDescent="0.25">
      <c r="B53" s="5"/>
      <c r="C53" s="20"/>
      <c r="D53" s="24"/>
      <c r="E53" s="28" t="s">
        <v>4</v>
      </c>
      <c r="F53" s="67"/>
      <c r="G53" s="67" t="e">
        <f>MIN(G43:G52)</f>
        <v>#N/A</v>
      </c>
      <c r="H53" s="67"/>
      <c r="I53" s="67" t="e">
        <f>MIN(I43:I52)</f>
        <v>#N/A</v>
      </c>
      <c r="J53" s="67"/>
      <c r="K53" s="67" t="e">
        <f>MIN(K43:K52)</f>
        <v>#N/A</v>
      </c>
    </row>
    <row r="54" spans="2:11" x14ac:dyDescent="0.25">
      <c r="B54" s="5"/>
      <c r="C54" s="24"/>
      <c r="D54" s="5"/>
      <c r="E54" s="28" t="s">
        <v>29</v>
      </c>
      <c r="F54" s="67"/>
      <c r="G54" s="67" t="e">
        <f>MAX(G43:G52)</f>
        <v>#N/A</v>
      </c>
      <c r="H54" s="67"/>
      <c r="I54" s="67" t="e">
        <f>MAX(I43:I52)</f>
        <v>#N/A</v>
      </c>
      <c r="J54" s="67"/>
      <c r="K54" s="67" t="e">
        <f>MAX(K43:K52)</f>
        <v>#N/A</v>
      </c>
    </row>
    <row r="55" spans="2:11" x14ac:dyDescent="0.25">
      <c r="E55" s="28" t="s">
        <v>24</v>
      </c>
      <c r="F55" s="67"/>
      <c r="G55" s="67" t="e">
        <f>G53+G54</f>
        <v>#N/A</v>
      </c>
      <c r="H55" s="67"/>
      <c r="I55" s="67" t="e">
        <f t="shared" ref="I55:K55" si="12">I53+I54</f>
        <v>#N/A</v>
      </c>
      <c r="J55" s="67"/>
      <c r="K55" s="67" t="e">
        <f t="shared" si="12"/>
        <v>#N/A</v>
      </c>
    </row>
    <row r="56" spans="2:11" x14ac:dyDescent="0.25">
      <c r="G56" s="5"/>
    </row>
    <row r="57" spans="2:11" x14ac:dyDescent="0.25">
      <c r="G57" s="5"/>
    </row>
    <row r="58" spans="2:11" x14ac:dyDescent="0.25">
      <c r="G58" s="5"/>
    </row>
  </sheetData>
  <mergeCells count="5">
    <mergeCell ref="F41:G41"/>
    <mergeCell ref="H41:I41"/>
    <mergeCell ref="J41:K41"/>
    <mergeCell ref="B3:G3"/>
    <mergeCell ref="B17:G17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0"/>
  <sheetViews>
    <sheetView zoomScaleNormal="100" workbookViewId="0">
      <selection activeCell="B1" sqref="B1"/>
    </sheetView>
  </sheetViews>
  <sheetFormatPr defaultColWidth="8.85546875" defaultRowHeight="15" x14ac:dyDescent="0.25"/>
  <cols>
    <col min="1" max="1" width="6.42578125" style="1" customWidth="1"/>
    <col min="2" max="10" width="11.85546875" style="1" customWidth="1"/>
    <col min="11" max="11" width="7.7109375" style="1" customWidth="1"/>
    <col min="12" max="12" width="9.140625" style="1" customWidth="1"/>
    <col min="13" max="13" width="7.140625" style="1" customWidth="1"/>
    <col min="14" max="14" width="7.85546875" style="1" customWidth="1"/>
    <col min="15" max="15" width="7.7109375" style="1" customWidth="1"/>
    <col min="16" max="16" width="7.28515625" style="1" customWidth="1"/>
    <col min="17" max="19" width="11.85546875" style="1" customWidth="1"/>
    <col min="20" max="16384" width="8.85546875" style="1"/>
  </cols>
  <sheetData>
    <row r="1" spans="1:18" s="121" customFormat="1" ht="18.75" x14ac:dyDescent="0.3">
      <c r="A1" s="121" t="s">
        <v>67</v>
      </c>
    </row>
    <row r="3" spans="1:18" ht="19.5" customHeight="1" x14ac:dyDescent="0.25">
      <c r="B3" s="136" t="s">
        <v>1</v>
      </c>
      <c r="C3" s="53"/>
      <c r="D3" s="46"/>
      <c r="E3" s="150" t="s">
        <v>90</v>
      </c>
      <c r="F3" s="150"/>
      <c r="G3" s="150"/>
      <c r="H3" s="150" t="s">
        <v>91</v>
      </c>
      <c r="I3" s="150"/>
      <c r="J3" s="150"/>
      <c r="K3" s="51"/>
      <c r="L3" s="51"/>
      <c r="M3" s="51"/>
      <c r="N3" s="51"/>
      <c r="O3" s="51"/>
      <c r="P3" s="51"/>
      <c r="Q3" s="51"/>
      <c r="R3" s="51"/>
    </row>
    <row r="4" spans="1:18" ht="25.5" x14ac:dyDescent="0.25">
      <c r="B4" s="21" t="s">
        <v>66</v>
      </c>
      <c r="C4" s="21" t="s">
        <v>2</v>
      </c>
      <c r="D4" s="21" t="s">
        <v>87</v>
      </c>
      <c r="E4" s="126">
        <v>1</v>
      </c>
      <c r="F4" s="126">
        <v>2</v>
      </c>
      <c r="G4" s="126">
        <v>3</v>
      </c>
      <c r="H4" s="118" t="s">
        <v>22</v>
      </c>
      <c r="I4" s="118" t="s">
        <v>23</v>
      </c>
      <c r="J4" s="118" t="s">
        <v>25</v>
      </c>
      <c r="K4" s="149" t="s">
        <v>26</v>
      </c>
      <c r="L4" s="149"/>
      <c r="M4" s="149" t="s">
        <v>27</v>
      </c>
      <c r="N4" s="149"/>
      <c r="O4" s="149" t="s">
        <v>28</v>
      </c>
      <c r="P4" s="149"/>
    </row>
    <row r="5" spans="1:18" x14ac:dyDescent="0.25">
      <c r="B5" s="57">
        <v>0</v>
      </c>
      <c r="C5" s="27">
        <f>FOSD!G19</f>
        <v>0</v>
      </c>
      <c r="D5" s="59">
        <v>0</v>
      </c>
      <c r="E5" s="27">
        <v>0</v>
      </c>
      <c r="F5" s="27">
        <v>0</v>
      </c>
      <c r="G5" s="27">
        <v>0</v>
      </c>
      <c r="H5" s="29">
        <v>0</v>
      </c>
      <c r="I5" s="29">
        <v>0</v>
      </c>
      <c r="J5" s="43"/>
      <c r="K5" s="43"/>
      <c r="L5" s="42"/>
      <c r="M5" s="43"/>
      <c r="N5" s="43"/>
      <c r="O5" s="42"/>
      <c r="P5" s="43"/>
    </row>
    <row r="6" spans="1:18" x14ac:dyDescent="0.25">
      <c r="B6" s="58">
        <v>1</v>
      </c>
      <c r="C6" s="27">
        <f>FOSD!G20</f>
        <v>0</v>
      </c>
      <c r="D6" s="59">
        <f>C6-C5</f>
        <v>0</v>
      </c>
      <c r="E6" s="119"/>
      <c r="F6" s="44" t="e">
        <f>F5+$D6*FOSD!D20/FOSD!F$15</f>
        <v>#N/A</v>
      </c>
      <c r="G6" s="44" t="e">
        <f>G5+$D6*FOSD!E20/FOSD!G$15</f>
        <v>#N/A</v>
      </c>
      <c r="H6" s="133"/>
      <c r="I6" s="134" t="e">
        <f>G6-E6</f>
        <v>#N/A</v>
      </c>
      <c r="J6" s="135" t="e">
        <f>G6-F6</f>
        <v>#N/A</v>
      </c>
      <c r="K6" s="23">
        <f>IF(H6&gt;0,1,0)</f>
        <v>0</v>
      </c>
      <c r="L6" s="23" t="str">
        <f>IF(H6=0,"",K6)</f>
        <v/>
      </c>
      <c r="M6" s="23" t="e">
        <f>IF(I6&gt;0,1,0)</f>
        <v>#N/A</v>
      </c>
      <c r="N6" s="23" t="e">
        <f>IF(I6=0,"",M6)</f>
        <v>#N/A</v>
      </c>
      <c r="O6" s="23" t="e">
        <f>IF(J6&gt;0,1,0)</f>
        <v>#N/A</v>
      </c>
      <c r="P6" s="23" t="e">
        <f>IF(J6=0,"",O6)</f>
        <v>#N/A</v>
      </c>
    </row>
    <row r="7" spans="1:18" x14ac:dyDescent="0.25">
      <c r="B7" s="58">
        <v>2</v>
      </c>
      <c r="C7" s="27">
        <f>FOSD!G21</f>
        <v>0</v>
      </c>
      <c r="D7" s="59">
        <f t="shared" ref="D7:D15" si="0">C7-C6</f>
        <v>0</v>
      </c>
      <c r="E7" s="119"/>
      <c r="F7" s="44" t="e">
        <f>F6+$D7*FOSD!D21/FOSD!F$15</f>
        <v>#N/A</v>
      </c>
      <c r="G7" s="44" t="e">
        <f>G6+$D7*FOSD!E21/FOSD!G$15</f>
        <v>#N/A</v>
      </c>
      <c r="H7" s="133"/>
      <c r="I7" s="134" t="e">
        <f t="shared" ref="I7:I15" si="1">G7-E7</f>
        <v>#N/A</v>
      </c>
      <c r="J7" s="135" t="e">
        <f t="shared" ref="J7:J15" si="2">G7-F7</f>
        <v>#N/A</v>
      </c>
      <c r="K7" s="23">
        <f t="shared" ref="K7:K13" si="3">IF(H7&gt;0,1,0)</f>
        <v>0</v>
      </c>
      <c r="L7" s="23" t="str">
        <f t="shared" ref="L7:L15" si="4">IF(H7=0,"",K7)</f>
        <v/>
      </c>
      <c r="M7" s="23" t="e">
        <f t="shared" ref="M7:M15" si="5">IF(I7&gt;0,1,0)</f>
        <v>#N/A</v>
      </c>
      <c r="N7" s="23" t="e">
        <f t="shared" ref="N7:N15" si="6">IF(I7=0,"",M7)</f>
        <v>#N/A</v>
      </c>
      <c r="O7" s="23" t="e">
        <f t="shared" ref="O7:O15" si="7">IF(J7&gt;0,1,0)</f>
        <v>#N/A</v>
      </c>
      <c r="P7" s="23" t="e">
        <f t="shared" ref="P7:P15" si="8">IF(J7=0,"",O7)</f>
        <v>#N/A</v>
      </c>
    </row>
    <row r="8" spans="1:18" x14ac:dyDescent="0.25">
      <c r="B8" s="58">
        <v>3</v>
      </c>
      <c r="C8" s="27">
        <f>FOSD!G22</f>
        <v>0</v>
      </c>
      <c r="D8" s="59">
        <f t="shared" si="0"/>
        <v>0</v>
      </c>
      <c r="E8" s="119"/>
      <c r="F8" s="44" t="e">
        <f>F7+$D8*FOSD!D22/FOSD!F$15</f>
        <v>#N/A</v>
      </c>
      <c r="G8" s="44" t="e">
        <f>G7+$D8*FOSD!E22/FOSD!G$15</f>
        <v>#N/A</v>
      </c>
      <c r="H8" s="133"/>
      <c r="I8" s="134" t="e">
        <f t="shared" si="1"/>
        <v>#N/A</v>
      </c>
      <c r="J8" s="135" t="e">
        <f t="shared" si="2"/>
        <v>#N/A</v>
      </c>
      <c r="K8" s="23">
        <f t="shared" si="3"/>
        <v>0</v>
      </c>
      <c r="L8" s="23" t="str">
        <f t="shared" si="4"/>
        <v/>
      </c>
      <c r="M8" s="23" t="e">
        <f t="shared" si="5"/>
        <v>#N/A</v>
      </c>
      <c r="N8" s="23" t="e">
        <f t="shared" si="6"/>
        <v>#N/A</v>
      </c>
      <c r="O8" s="23" t="e">
        <f t="shared" si="7"/>
        <v>#N/A</v>
      </c>
      <c r="P8" s="23" t="e">
        <f t="shared" si="8"/>
        <v>#N/A</v>
      </c>
    </row>
    <row r="9" spans="1:18" x14ac:dyDescent="0.25">
      <c r="B9" s="58">
        <v>4</v>
      </c>
      <c r="C9" s="27">
        <f>FOSD!G23</f>
        <v>0</v>
      </c>
      <c r="D9" s="59">
        <f t="shared" si="0"/>
        <v>0</v>
      </c>
      <c r="E9" s="119"/>
      <c r="F9" s="44" t="e">
        <f>F8+$D9*FOSD!D23/FOSD!F$15</f>
        <v>#N/A</v>
      </c>
      <c r="G9" s="44" t="e">
        <f>G8+$D9*FOSD!E23/FOSD!G$15</f>
        <v>#N/A</v>
      </c>
      <c r="H9" s="133"/>
      <c r="I9" s="134" t="e">
        <f t="shared" si="1"/>
        <v>#N/A</v>
      </c>
      <c r="J9" s="135" t="e">
        <f t="shared" si="2"/>
        <v>#N/A</v>
      </c>
      <c r="K9" s="23">
        <f t="shared" si="3"/>
        <v>0</v>
      </c>
      <c r="L9" s="23" t="str">
        <f t="shared" si="4"/>
        <v/>
      </c>
      <c r="M9" s="23" t="e">
        <f t="shared" si="5"/>
        <v>#N/A</v>
      </c>
      <c r="N9" s="23" t="e">
        <f t="shared" si="6"/>
        <v>#N/A</v>
      </c>
      <c r="O9" s="23" t="e">
        <f t="shared" si="7"/>
        <v>#N/A</v>
      </c>
      <c r="P9" s="23" t="e">
        <f t="shared" si="8"/>
        <v>#N/A</v>
      </c>
    </row>
    <row r="10" spans="1:18" x14ac:dyDescent="0.25">
      <c r="B10" s="58">
        <v>5</v>
      </c>
      <c r="C10" s="27">
        <f>FOSD!G24</f>
        <v>0</v>
      </c>
      <c r="D10" s="59">
        <f t="shared" si="0"/>
        <v>0</v>
      </c>
      <c r="E10" s="119"/>
      <c r="F10" s="44" t="e">
        <f>F9+$D10*FOSD!D24/FOSD!F$15</f>
        <v>#N/A</v>
      </c>
      <c r="G10" s="44" t="e">
        <f>G9+$D10*FOSD!E24/FOSD!G$15</f>
        <v>#N/A</v>
      </c>
      <c r="H10" s="133"/>
      <c r="I10" s="134" t="e">
        <f t="shared" si="1"/>
        <v>#N/A</v>
      </c>
      <c r="J10" s="135" t="e">
        <f t="shared" si="2"/>
        <v>#N/A</v>
      </c>
      <c r="K10" s="23">
        <f t="shared" si="3"/>
        <v>0</v>
      </c>
      <c r="L10" s="23" t="str">
        <f t="shared" si="4"/>
        <v/>
      </c>
      <c r="M10" s="23" t="e">
        <f t="shared" si="5"/>
        <v>#N/A</v>
      </c>
      <c r="N10" s="23" t="e">
        <f t="shared" si="6"/>
        <v>#N/A</v>
      </c>
      <c r="O10" s="23" t="e">
        <f t="shared" si="7"/>
        <v>#N/A</v>
      </c>
      <c r="P10" s="23" t="e">
        <f t="shared" si="8"/>
        <v>#N/A</v>
      </c>
    </row>
    <row r="11" spans="1:18" x14ac:dyDescent="0.25">
      <c r="B11" s="58">
        <v>6</v>
      </c>
      <c r="C11" s="27">
        <f>FOSD!G25</f>
        <v>0</v>
      </c>
      <c r="D11" s="59">
        <f t="shared" si="0"/>
        <v>0</v>
      </c>
      <c r="E11" s="119"/>
      <c r="F11" s="44" t="e">
        <f>F10+$D11*FOSD!D25/FOSD!F$15</f>
        <v>#N/A</v>
      </c>
      <c r="G11" s="44" t="e">
        <f>G10+$D11*FOSD!E25/FOSD!G$15</f>
        <v>#N/A</v>
      </c>
      <c r="H11" s="133"/>
      <c r="I11" s="134" t="e">
        <f t="shared" si="1"/>
        <v>#N/A</v>
      </c>
      <c r="J11" s="135" t="e">
        <f t="shared" si="2"/>
        <v>#N/A</v>
      </c>
      <c r="K11" s="23">
        <f t="shared" si="3"/>
        <v>0</v>
      </c>
      <c r="L11" s="23" t="str">
        <f t="shared" si="4"/>
        <v/>
      </c>
      <c r="M11" s="23" t="e">
        <f t="shared" si="5"/>
        <v>#N/A</v>
      </c>
      <c r="N11" s="23" t="e">
        <f t="shared" si="6"/>
        <v>#N/A</v>
      </c>
      <c r="O11" s="23" t="e">
        <f t="shared" si="7"/>
        <v>#N/A</v>
      </c>
      <c r="P11" s="23" t="e">
        <f t="shared" si="8"/>
        <v>#N/A</v>
      </c>
    </row>
    <row r="12" spans="1:18" x14ac:dyDescent="0.25">
      <c r="B12" s="58">
        <v>7</v>
      </c>
      <c r="C12" s="27">
        <f>FOSD!G26</f>
        <v>0</v>
      </c>
      <c r="D12" s="59">
        <f t="shared" si="0"/>
        <v>0</v>
      </c>
      <c r="E12" s="119"/>
      <c r="F12" s="44" t="e">
        <f>F11+$D12*FOSD!D26/FOSD!F$15</f>
        <v>#N/A</v>
      </c>
      <c r="G12" s="44" t="e">
        <f>G11+$D12*FOSD!E26/FOSD!G$15</f>
        <v>#N/A</v>
      </c>
      <c r="H12" s="133"/>
      <c r="I12" s="134" t="e">
        <f t="shared" si="1"/>
        <v>#N/A</v>
      </c>
      <c r="J12" s="135" t="e">
        <f t="shared" si="2"/>
        <v>#N/A</v>
      </c>
      <c r="K12" s="23">
        <f t="shared" si="3"/>
        <v>0</v>
      </c>
      <c r="L12" s="23" t="str">
        <f t="shared" si="4"/>
        <v/>
      </c>
      <c r="M12" s="23" t="e">
        <f t="shared" si="5"/>
        <v>#N/A</v>
      </c>
      <c r="N12" s="23" t="e">
        <f t="shared" si="6"/>
        <v>#N/A</v>
      </c>
      <c r="O12" s="23" t="e">
        <f t="shared" si="7"/>
        <v>#N/A</v>
      </c>
      <c r="P12" s="23" t="e">
        <f t="shared" si="8"/>
        <v>#N/A</v>
      </c>
    </row>
    <row r="13" spans="1:18" x14ac:dyDescent="0.25">
      <c r="B13" s="58">
        <v>8</v>
      </c>
      <c r="C13" s="27">
        <f>FOSD!G27</f>
        <v>0</v>
      </c>
      <c r="D13" s="59">
        <f t="shared" si="0"/>
        <v>0</v>
      </c>
      <c r="E13" s="119"/>
      <c r="F13" s="44" t="e">
        <f>F12+$D13*FOSD!D27/FOSD!F$15</f>
        <v>#N/A</v>
      </c>
      <c r="G13" s="44" t="e">
        <f>G12+$D13*FOSD!E27/FOSD!G$15</f>
        <v>#N/A</v>
      </c>
      <c r="H13" s="133"/>
      <c r="I13" s="134" t="e">
        <f t="shared" si="1"/>
        <v>#N/A</v>
      </c>
      <c r="J13" s="135" t="e">
        <f t="shared" si="2"/>
        <v>#N/A</v>
      </c>
      <c r="K13" s="23">
        <f t="shared" si="3"/>
        <v>0</v>
      </c>
      <c r="L13" s="23" t="str">
        <f t="shared" si="4"/>
        <v/>
      </c>
      <c r="M13" s="23" t="e">
        <f t="shared" si="5"/>
        <v>#N/A</v>
      </c>
      <c r="N13" s="23" t="e">
        <f t="shared" si="6"/>
        <v>#N/A</v>
      </c>
      <c r="O13" s="23" t="e">
        <f t="shared" si="7"/>
        <v>#N/A</v>
      </c>
      <c r="P13" s="23" t="e">
        <f t="shared" si="8"/>
        <v>#N/A</v>
      </c>
    </row>
    <row r="14" spans="1:18" x14ac:dyDescent="0.25">
      <c r="B14" s="58">
        <v>9</v>
      </c>
      <c r="C14" s="27">
        <f>FOSD!G28</f>
        <v>0</v>
      </c>
      <c r="D14" s="59">
        <f t="shared" si="0"/>
        <v>0</v>
      </c>
      <c r="E14" s="119"/>
      <c r="F14" s="44" t="e">
        <f>F13+$D14*FOSD!D28/FOSD!F$15</f>
        <v>#N/A</v>
      </c>
      <c r="G14" s="44" t="e">
        <f>G13+$D14*FOSD!E28/FOSD!G$15</f>
        <v>#N/A</v>
      </c>
      <c r="H14" s="133"/>
      <c r="I14" s="134" t="e">
        <f t="shared" si="1"/>
        <v>#N/A</v>
      </c>
      <c r="J14" s="135" t="e">
        <f t="shared" si="2"/>
        <v>#N/A</v>
      </c>
      <c r="K14" s="23">
        <f>IF(H14&gt;0,1,0)</f>
        <v>0</v>
      </c>
      <c r="L14" s="23" t="str">
        <f t="shared" si="4"/>
        <v/>
      </c>
      <c r="M14" s="23" t="e">
        <f t="shared" si="5"/>
        <v>#N/A</v>
      </c>
      <c r="N14" s="23" t="e">
        <f t="shared" si="6"/>
        <v>#N/A</v>
      </c>
      <c r="O14" s="23" t="e">
        <f t="shared" si="7"/>
        <v>#N/A</v>
      </c>
      <c r="P14" s="23" t="e">
        <f t="shared" si="8"/>
        <v>#N/A</v>
      </c>
    </row>
    <row r="15" spans="1:18" x14ac:dyDescent="0.25">
      <c r="B15" s="58">
        <v>10</v>
      </c>
      <c r="C15" s="27">
        <f>FOSD!G29</f>
        <v>0</v>
      </c>
      <c r="D15" s="59">
        <f t="shared" si="0"/>
        <v>0</v>
      </c>
      <c r="E15" s="119"/>
      <c r="F15" s="44" t="e">
        <f>F14+$D15*FOSD!D29/FOSD!F$15</f>
        <v>#N/A</v>
      </c>
      <c r="G15" s="44" t="e">
        <f>G14+$D15*FOSD!E29/FOSD!G$15</f>
        <v>#N/A</v>
      </c>
      <c r="H15" s="119"/>
      <c r="I15" s="44" t="e">
        <f t="shared" si="1"/>
        <v>#N/A</v>
      </c>
      <c r="J15" s="44" t="e">
        <f t="shared" si="2"/>
        <v>#N/A</v>
      </c>
      <c r="K15" s="23">
        <f>IF(H15&gt;0,1,0)</f>
        <v>0</v>
      </c>
      <c r="L15" s="23" t="str">
        <f t="shared" si="4"/>
        <v/>
      </c>
      <c r="M15" s="23" t="e">
        <f t="shared" si="5"/>
        <v>#N/A</v>
      </c>
      <c r="N15" s="23" t="e">
        <f t="shared" si="6"/>
        <v>#N/A</v>
      </c>
      <c r="O15" s="23" t="e">
        <f t="shared" si="7"/>
        <v>#N/A</v>
      </c>
      <c r="P15" s="23" t="e">
        <f t="shared" si="8"/>
        <v>#N/A</v>
      </c>
    </row>
    <row r="16" spans="1:18" x14ac:dyDescent="0.25">
      <c r="B16" s="51"/>
      <c r="C16" s="46"/>
      <c r="D16" s="51"/>
      <c r="E16" s="35"/>
      <c r="F16" s="35"/>
      <c r="G16" s="35"/>
      <c r="H16" s="51"/>
      <c r="I16" s="51"/>
      <c r="J16" s="28" t="s">
        <v>4</v>
      </c>
      <c r="K16" s="59"/>
      <c r="L16" s="59">
        <f>MIN(L6:L15)</f>
        <v>0</v>
      </c>
      <c r="M16" s="59"/>
      <c r="N16" s="59" t="e">
        <f>MIN(N6:N15)</f>
        <v>#N/A</v>
      </c>
      <c r="O16" s="59"/>
      <c r="P16" s="59" t="e">
        <f>MIN(P6:P15)</f>
        <v>#N/A</v>
      </c>
    </row>
    <row r="17" spans="2:16" x14ac:dyDescent="0.25">
      <c r="B17" s="52" t="s">
        <v>16</v>
      </c>
      <c r="E17" s="51"/>
      <c r="F17" s="51"/>
      <c r="G17" s="38"/>
      <c r="H17" s="51"/>
      <c r="I17" s="51"/>
      <c r="J17" s="28" t="s">
        <v>29</v>
      </c>
      <c r="K17" s="59"/>
      <c r="L17" s="59">
        <f>MAX(L6:L15)</f>
        <v>0</v>
      </c>
      <c r="M17" s="59"/>
      <c r="N17" s="59" t="e">
        <f>MAX(N6:N15)</f>
        <v>#N/A</v>
      </c>
      <c r="O17" s="59"/>
      <c r="P17" s="59" t="e">
        <f>MAX(P6:P15)</f>
        <v>#N/A</v>
      </c>
    </row>
    <row r="18" spans="2:16" x14ac:dyDescent="0.25">
      <c r="B18" s="68" t="str">
        <f>IF(L18=2, "2 is more equal than 1", IF(L18=0, "1 is more equal than 2", "1 &amp; 2 cross"))</f>
        <v>1 is more equal than 2</v>
      </c>
      <c r="C18" s="42"/>
      <c r="D18" s="50"/>
      <c r="E18" s="51"/>
      <c r="F18" s="51"/>
      <c r="G18" s="38"/>
      <c r="H18" s="51"/>
      <c r="I18" s="51"/>
      <c r="J18" s="28" t="s">
        <v>24</v>
      </c>
      <c r="K18" s="59"/>
      <c r="L18" s="59">
        <f>L16+L17</f>
        <v>0</v>
      </c>
      <c r="M18" s="59"/>
      <c r="N18" s="59" t="e">
        <f t="shared" ref="N18:P18" si="9">N16+N17</f>
        <v>#N/A</v>
      </c>
      <c r="O18" s="59"/>
      <c r="P18" s="59" t="e">
        <f t="shared" si="9"/>
        <v>#N/A</v>
      </c>
    </row>
    <row r="19" spans="2:16" x14ac:dyDescent="0.25">
      <c r="B19" s="68" t="e">
        <f>IF(N18=2, "3 is more equal than 1", IF(N18=0, "1 is more equal than 3", "3 &amp; 1 cross"))</f>
        <v>#N/A</v>
      </c>
      <c r="C19" s="42"/>
      <c r="D19" s="50"/>
    </row>
    <row r="20" spans="2:16" x14ac:dyDescent="0.25">
      <c r="B20" s="68" t="e">
        <f>IF(P18=2, "3 is more equal than 2", IF(P18=0, "2 is more equal than 3", "2 &amp; 3 cross"))</f>
        <v>#N/A</v>
      </c>
      <c r="C20" s="42"/>
      <c r="D20" s="50"/>
    </row>
  </sheetData>
  <mergeCells count="5">
    <mergeCell ref="K4:L4"/>
    <mergeCell ref="M4:N4"/>
    <mergeCell ref="O4:P4"/>
    <mergeCell ref="H3:J3"/>
    <mergeCell ref="E3:G3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0"/>
  <sheetViews>
    <sheetView zoomScaleNormal="100" workbookViewId="0"/>
  </sheetViews>
  <sheetFormatPr defaultColWidth="8.85546875" defaultRowHeight="15" x14ac:dyDescent="0.25"/>
  <cols>
    <col min="1" max="1" width="6.42578125" style="5" customWidth="1"/>
    <col min="2" max="5" width="11.85546875" style="5" customWidth="1"/>
    <col min="6" max="7" width="11.85546875" style="1" customWidth="1"/>
    <col min="8" max="10" width="11.85546875" style="5" customWidth="1"/>
    <col min="11" max="11" width="9.42578125" style="5" customWidth="1"/>
    <col min="12" max="12" width="9" style="5" customWidth="1"/>
    <col min="13" max="13" width="6.140625" style="5" customWidth="1"/>
    <col min="14" max="14" width="8.42578125" style="5" customWidth="1"/>
    <col min="15" max="15" width="8.85546875" style="5" customWidth="1"/>
    <col min="16" max="16" width="8.28515625" style="5" customWidth="1"/>
    <col min="17" max="21" width="11.85546875" style="5" customWidth="1"/>
    <col min="22" max="16384" width="8.85546875" style="5"/>
  </cols>
  <sheetData>
    <row r="1" spans="1:16" s="114" customFormat="1" ht="18.75" x14ac:dyDescent="0.3">
      <c r="A1" s="115" t="s">
        <v>68</v>
      </c>
      <c r="F1" s="120"/>
      <c r="G1" s="120"/>
    </row>
    <row r="3" spans="1:16" x14ac:dyDescent="0.25">
      <c r="B3" s="19" t="s">
        <v>0</v>
      </c>
      <c r="C3" s="3"/>
      <c r="D3" s="4"/>
      <c r="E3" s="4"/>
      <c r="F3" s="4"/>
      <c r="H3" s="1"/>
    </row>
    <row r="4" spans="1:16" ht="39" x14ac:dyDescent="0.25">
      <c r="B4" s="21" t="s">
        <v>66</v>
      </c>
      <c r="C4" s="21" t="s">
        <v>88</v>
      </c>
      <c r="D4" s="21" t="s">
        <v>87</v>
      </c>
      <c r="E4" s="21">
        <v>1</v>
      </c>
      <c r="F4" s="21">
        <v>2</v>
      </c>
      <c r="G4" s="21">
        <v>3</v>
      </c>
      <c r="H4" s="47" t="s">
        <v>22</v>
      </c>
      <c r="I4" s="47" t="s">
        <v>23</v>
      </c>
      <c r="J4" s="47" t="s">
        <v>25</v>
      </c>
      <c r="K4" s="145" t="s">
        <v>26</v>
      </c>
      <c r="L4" s="145"/>
      <c r="M4" s="145" t="s">
        <v>27</v>
      </c>
      <c r="N4" s="145"/>
      <c r="O4" s="145" t="s">
        <v>28</v>
      </c>
      <c r="P4" s="145"/>
    </row>
    <row r="5" spans="1:16" x14ac:dyDescent="0.25">
      <c r="B5" s="49">
        <v>0</v>
      </c>
      <c r="C5" s="27">
        <f>FOSD!G19</f>
        <v>0</v>
      </c>
      <c r="D5" s="44">
        <v>0</v>
      </c>
      <c r="E5" s="44">
        <v>0</v>
      </c>
      <c r="F5" s="27">
        <v>0</v>
      </c>
      <c r="G5" s="27">
        <v>0</v>
      </c>
      <c r="H5" s="27">
        <f>F5-E5</f>
        <v>0</v>
      </c>
      <c r="I5" s="27">
        <f>G5-E5</f>
        <v>0</v>
      </c>
      <c r="J5" s="45"/>
      <c r="K5" s="42"/>
      <c r="L5" s="45"/>
      <c r="M5" s="45"/>
      <c r="N5" s="42"/>
      <c r="O5" s="45"/>
      <c r="P5" s="45"/>
    </row>
    <row r="6" spans="1:16" x14ac:dyDescent="0.25">
      <c r="B6" s="26">
        <v>1</v>
      </c>
      <c r="C6" s="27">
        <f>FOSD!G20</f>
        <v>0</v>
      </c>
      <c r="D6" s="44">
        <f>C6-C5</f>
        <v>0</v>
      </c>
      <c r="E6" s="119"/>
      <c r="F6" s="44" t="e">
        <f>F5+$D6*FOSD!D20</f>
        <v>#N/A</v>
      </c>
      <c r="G6" s="44" t="e">
        <f>G5+$D6*FOSD!E20</f>
        <v>#N/A</v>
      </c>
      <c r="H6" s="130"/>
      <c r="I6" s="137" t="e">
        <f t="shared" ref="I6:I15" si="0">G6-E6</f>
        <v>#N/A</v>
      </c>
      <c r="J6" s="132" t="e">
        <f>G6-F6</f>
        <v>#N/A</v>
      </c>
      <c r="K6" s="45">
        <f>IF(H6&gt;0,1,0)</f>
        <v>0</v>
      </c>
      <c r="L6" s="44" t="str">
        <f>IF(H6=0,"",K6)</f>
        <v/>
      </c>
      <c r="M6" s="45" t="e">
        <f>IF(I6&gt;0,1,0)</f>
        <v>#N/A</v>
      </c>
      <c r="N6" s="45" t="e">
        <f>IF(I6=0,"",M6)</f>
        <v>#N/A</v>
      </c>
      <c r="O6" s="44" t="e">
        <f>IF(J6&gt;0,1,0)</f>
        <v>#N/A</v>
      </c>
      <c r="P6" s="45" t="e">
        <f>IF(J6=0,"",O6)</f>
        <v>#N/A</v>
      </c>
    </row>
    <row r="7" spans="1:16" x14ac:dyDescent="0.25">
      <c r="B7" s="26">
        <v>2</v>
      </c>
      <c r="C7" s="27">
        <f>FOSD!G21</f>
        <v>0</v>
      </c>
      <c r="D7" s="44">
        <f t="shared" ref="D7:D15" si="1">C7-C6</f>
        <v>0</v>
      </c>
      <c r="E7" s="119"/>
      <c r="F7" s="44" t="e">
        <f>F6+$D7*FOSD!D21</f>
        <v>#N/A</v>
      </c>
      <c r="G7" s="44" t="e">
        <f>G6+$D7*FOSD!E21</f>
        <v>#N/A</v>
      </c>
      <c r="H7" s="130"/>
      <c r="I7" s="137" t="e">
        <f t="shared" si="0"/>
        <v>#N/A</v>
      </c>
      <c r="J7" s="132" t="e">
        <f t="shared" ref="J7:J15" si="2">G7-F7</f>
        <v>#N/A</v>
      </c>
      <c r="K7" s="45">
        <f t="shared" ref="K7:K15" si="3">IF(H7&gt;0,1,0)</f>
        <v>0</v>
      </c>
      <c r="L7" s="44" t="str">
        <f t="shared" ref="L7:L15" si="4">IF(H7=0,"",K7)</f>
        <v/>
      </c>
      <c r="M7" s="45" t="e">
        <f t="shared" ref="M7:M15" si="5">IF(I7&gt;0,1,0)</f>
        <v>#N/A</v>
      </c>
      <c r="N7" s="45" t="e">
        <f t="shared" ref="N7:N15" si="6">IF(I7=0,"",M7)</f>
        <v>#N/A</v>
      </c>
      <c r="O7" s="44" t="e">
        <f t="shared" ref="O7:O15" si="7">IF(J7&gt;0,1,0)</f>
        <v>#N/A</v>
      </c>
      <c r="P7" s="45" t="e">
        <f t="shared" ref="P7:P15" si="8">IF(J7=0,"",O7)</f>
        <v>#N/A</v>
      </c>
    </row>
    <row r="8" spans="1:16" x14ac:dyDescent="0.25">
      <c r="B8" s="26">
        <v>3</v>
      </c>
      <c r="C8" s="27">
        <f>FOSD!G22</f>
        <v>0</v>
      </c>
      <c r="D8" s="44">
        <f t="shared" si="1"/>
        <v>0</v>
      </c>
      <c r="E8" s="119"/>
      <c r="F8" s="44" t="e">
        <f>F7+$D8*FOSD!D22</f>
        <v>#N/A</v>
      </c>
      <c r="G8" s="44" t="e">
        <f>G7+$D8*FOSD!E22</f>
        <v>#N/A</v>
      </c>
      <c r="H8" s="130"/>
      <c r="I8" s="137" t="e">
        <f t="shared" si="0"/>
        <v>#N/A</v>
      </c>
      <c r="J8" s="132" t="e">
        <f t="shared" si="2"/>
        <v>#N/A</v>
      </c>
      <c r="K8" s="45">
        <f t="shared" si="3"/>
        <v>0</v>
      </c>
      <c r="L8" s="44" t="str">
        <f t="shared" si="4"/>
        <v/>
      </c>
      <c r="M8" s="45" t="e">
        <f t="shared" si="5"/>
        <v>#N/A</v>
      </c>
      <c r="N8" s="45" t="e">
        <f t="shared" si="6"/>
        <v>#N/A</v>
      </c>
      <c r="O8" s="44" t="e">
        <f t="shared" si="7"/>
        <v>#N/A</v>
      </c>
      <c r="P8" s="45" t="e">
        <f t="shared" si="8"/>
        <v>#N/A</v>
      </c>
    </row>
    <row r="9" spans="1:16" x14ac:dyDescent="0.25">
      <c r="B9" s="26">
        <v>4</v>
      </c>
      <c r="C9" s="27">
        <f>FOSD!G23</f>
        <v>0</v>
      </c>
      <c r="D9" s="44">
        <f t="shared" si="1"/>
        <v>0</v>
      </c>
      <c r="E9" s="119"/>
      <c r="F9" s="44" t="e">
        <f>F8+$D9*FOSD!D23</f>
        <v>#N/A</v>
      </c>
      <c r="G9" s="44" t="e">
        <f>G8+$D9*FOSD!E23</f>
        <v>#N/A</v>
      </c>
      <c r="H9" s="130"/>
      <c r="I9" s="137" t="e">
        <f t="shared" si="0"/>
        <v>#N/A</v>
      </c>
      <c r="J9" s="132" t="e">
        <f t="shared" si="2"/>
        <v>#N/A</v>
      </c>
      <c r="K9" s="45">
        <f t="shared" si="3"/>
        <v>0</v>
      </c>
      <c r="L9" s="44" t="str">
        <f t="shared" si="4"/>
        <v/>
      </c>
      <c r="M9" s="45" t="e">
        <f t="shared" si="5"/>
        <v>#N/A</v>
      </c>
      <c r="N9" s="45" t="e">
        <f t="shared" si="6"/>
        <v>#N/A</v>
      </c>
      <c r="O9" s="44" t="e">
        <f t="shared" si="7"/>
        <v>#N/A</v>
      </c>
      <c r="P9" s="45" t="e">
        <f t="shared" si="8"/>
        <v>#N/A</v>
      </c>
    </row>
    <row r="10" spans="1:16" x14ac:dyDescent="0.25">
      <c r="B10" s="26">
        <v>5</v>
      </c>
      <c r="C10" s="27">
        <f>FOSD!G24</f>
        <v>0</v>
      </c>
      <c r="D10" s="44">
        <f t="shared" si="1"/>
        <v>0</v>
      </c>
      <c r="E10" s="119"/>
      <c r="F10" s="44" t="e">
        <f>F9+$D10*FOSD!D24</f>
        <v>#N/A</v>
      </c>
      <c r="G10" s="44" t="e">
        <f>G9+$D10*FOSD!E24</f>
        <v>#N/A</v>
      </c>
      <c r="H10" s="130"/>
      <c r="I10" s="137" t="e">
        <f t="shared" si="0"/>
        <v>#N/A</v>
      </c>
      <c r="J10" s="132" t="e">
        <f t="shared" si="2"/>
        <v>#N/A</v>
      </c>
      <c r="K10" s="45">
        <f t="shared" si="3"/>
        <v>0</v>
      </c>
      <c r="L10" s="44" t="str">
        <f t="shared" si="4"/>
        <v/>
      </c>
      <c r="M10" s="45" t="e">
        <f t="shared" si="5"/>
        <v>#N/A</v>
      </c>
      <c r="N10" s="45" t="e">
        <f t="shared" si="6"/>
        <v>#N/A</v>
      </c>
      <c r="O10" s="44" t="e">
        <f t="shared" si="7"/>
        <v>#N/A</v>
      </c>
      <c r="P10" s="45" t="e">
        <f t="shared" si="8"/>
        <v>#N/A</v>
      </c>
    </row>
    <row r="11" spans="1:16" x14ac:dyDescent="0.25">
      <c r="B11" s="26">
        <v>6</v>
      </c>
      <c r="C11" s="27">
        <f>FOSD!G25</f>
        <v>0</v>
      </c>
      <c r="D11" s="44">
        <f t="shared" si="1"/>
        <v>0</v>
      </c>
      <c r="E11" s="119"/>
      <c r="F11" s="44" t="e">
        <f>F10+$D11*FOSD!D25</f>
        <v>#N/A</v>
      </c>
      <c r="G11" s="44" t="e">
        <f>G10+$D11*FOSD!E25</f>
        <v>#N/A</v>
      </c>
      <c r="H11" s="130"/>
      <c r="I11" s="137" t="e">
        <f t="shared" si="0"/>
        <v>#N/A</v>
      </c>
      <c r="J11" s="132" t="e">
        <f t="shared" si="2"/>
        <v>#N/A</v>
      </c>
      <c r="K11" s="45">
        <f t="shared" si="3"/>
        <v>0</v>
      </c>
      <c r="L11" s="44" t="str">
        <f t="shared" si="4"/>
        <v/>
      </c>
      <c r="M11" s="45" t="e">
        <f t="shared" si="5"/>
        <v>#N/A</v>
      </c>
      <c r="N11" s="45" t="e">
        <f t="shared" si="6"/>
        <v>#N/A</v>
      </c>
      <c r="O11" s="44" t="e">
        <f t="shared" si="7"/>
        <v>#N/A</v>
      </c>
      <c r="P11" s="45" t="e">
        <f t="shared" si="8"/>
        <v>#N/A</v>
      </c>
    </row>
    <row r="12" spans="1:16" x14ac:dyDescent="0.25">
      <c r="B12" s="26">
        <v>7</v>
      </c>
      <c r="C12" s="27">
        <f>FOSD!G26</f>
        <v>0</v>
      </c>
      <c r="D12" s="44">
        <f t="shared" si="1"/>
        <v>0</v>
      </c>
      <c r="E12" s="119"/>
      <c r="F12" s="44" t="e">
        <f>F11+$D12*FOSD!D26</f>
        <v>#N/A</v>
      </c>
      <c r="G12" s="44" t="e">
        <f>G11+$D12*FOSD!E26</f>
        <v>#N/A</v>
      </c>
      <c r="H12" s="130"/>
      <c r="I12" s="137" t="e">
        <f t="shared" si="0"/>
        <v>#N/A</v>
      </c>
      <c r="J12" s="132" t="e">
        <f t="shared" si="2"/>
        <v>#N/A</v>
      </c>
      <c r="K12" s="45">
        <f t="shared" si="3"/>
        <v>0</v>
      </c>
      <c r="L12" s="44" t="str">
        <f t="shared" si="4"/>
        <v/>
      </c>
      <c r="M12" s="45" t="e">
        <f t="shared" si="5"/>
        <v>#N/A</v>
      </c>
      <c r="N12" s="45" t="e">
        <f t="shared" si="6"/>
        <v>#N/A</v>
      </c>
      <c r="O12" s="44" t="e">
        <f t="shared" si="7"/>
        <v>#N/A</v>
      </c>
      <c r="P12" s="45" t="e">
        <f t="shared" si="8"/>
        <v>#N/A</v>
      </c>
    </row>
    <row r="13" spans="1:16" x14ac:dyDescent="0.25">
      <c r="B13" s="26">
        <v>8</v>
      </c>
      <c r="C13" s="27">
        <f>FOSD!G27</f>
        <v>0</v>
      </c>
      <c r="D13" s="44">
        <f t="shared" si="1"/>
        <v>0</v>
      </c>
      <c r="E13" s="119"/>
      <c r="F13" s="44" t="e">
        <f>F12+$D13*FOSD!D27</f>
        <v>#N/A</v>
      </c>
      <c r="G13" s="44" t="e">
        <f>G12+$D13*FOSD!E27</f>
        <v>#N/A</v>
      </c>
      <c r="H13" s="130"/>
      <c r="I13" s="137" t="e">
        <f t="shared" si="0"/>
        <v>#N/A</v>
      </c>
      <c r="J13" s="132" t="e">
        <f t="shared" si="2"/>
        <v>#N/A</v>
      </c>
      <c r="K13" s="45">
        <f t="shared" si="3"/>
        <v>0</v>
      </c>
      <c r="L13" s="44" t="str">
        <f t="shared" si="4"/>
        <v/>
      </c>
      <c r="M13" s="45" t="e">
        <f t="shared" si="5"/>
        <v>#N/A</v>
      </c>
      <c r="N13" s="45" t="e">
        <f t="shared" si="6"/>
        <v>#N/A</v>
      </c>
      <c r="O13" s="44" t="e">
        <f t="shared" si="7"/>
        <v>#N/A</v>
      </c>
      <c r="P13" s="45" t="e">
        <f t="shared" si="8"/>
        <v>#N/A</v>
      </c>
    </row>
    <row r="14" spans="1:16" x14ac:dyDescent="0.25">
      <c r="B14" s="26">
        <v>9</v>
      </c>
      <c r="C14" s="27">
        <f>FOSD!G28</f>
        <v>0</v>
      </c>
      <c r="D14" s="44">
        <f t="shared" si="1"/>
        <v>0</v>
      </c>
      <c r="E14" s="119"/>
      <c r="F14" s="44" t="e">
        <f>F13+$D14*FOSD!D28</f>
        <v>#N/A</v>
      </c>
      <c r="G14" s="44" t="e">
        <f>G13+$D14*FOSD!E28</f>
        <v>#N/A</v>
      </c>
      <c r="H14" s="130"/>
      <c r="I14" s="137" t="e">
        <f t="shared" si="0"/>
        <v>#N/A</v>
      </c>
      <c r="J14" s="132" t="e">
        <f t="shared" si="2"/>
        <v>#N/A</v>
      </c>
      <c r="K14" s="45">
        <f t="shared" si="3"/>
        <v>0</v>
      </c>
      <c r="L14" s="44" t="str">
        <f t="shared" si="4"/>
        <v/>
      </c>
      <c r="M14" s="45" t="e">
        <f t="shared" si="5"/>
        <v>#N/A</v>
      </c>
      <c r="N14" s="45" t="e">
        <f t="shared" si="6"/>
        <v>#N/A</v>
      </c>
      <c r="O14" s="44" t="e">
        <f t="shared" si="7"/>
        <v>#N/A</v>
      </c>
      <c r="P14" s="45" t="e">
        <f t="shared" si="8"/>
        <v>#N/A</v>
      </c>
    </row>
    <row r="15" spans="1:16" x14ac:dyDescent="0.25">
      <c r="B15" s="26">
        <v>10</v>
      </c>
      <c r="C15" s="27">
        <f>FOSD!G29</f>
        <v>0</v>
      </c>
      <c r="D15" s="44">
        <f t="shared" si="1"/>
        <v>0</v>
      </c>
      <c r="E15" s="119"/>
      <c r="F15" s="44" t="e">
        <f>F14+$D15*FOSD!D29</f>
        <v>#N/A</v>
      </c>
      <c r="G15" s="44" t="e">
        <f>G14+$D15*FOSD!E29</f>
        <v>#N/A</v>
      </c>
      <c r="H15" s="130"/>
      <c r="I15" s="137" t="e">
        <f t="shared" si="0"/>
        <v>#N/A</v>
      </c>
      <c r="J15" s="132" t="e">
        <f t="shared" si="2"/>
        <v>#N/A</v>
      </c>
      <c r="K15" s="45">
        <f t="shared" si="3"/>
        <v>0</v>
      </c>
      <c r="L15" s="44" t="str">
        <f t="shared" si="4"/>
        <v/>
      </c>
      <c r="M15" s="45" t="e">
        <f t="shared" si="5"/>
        <v>#N/A</v>
      </c>
      <c r="N15" s="45" t="e">
        <f t="shared" si="6"/>
        <v>#N/A</v>
      </c>
      <c r="O15" s="44" t="e">
        <f t="shared" si="7"/>
        <v>#N/A</v>
      </c>
      <c r="P15" s="45" t="e">
        <f t="shared" si="8"/>
        <v>#N/A</v>
      </c>
    </row>
    <row r="16" spans="1:16" x14ac:dyDescent="0.25">
      <c r="B16" s="36"/>
      <c r="C16" s="46"/>
      <c r="D16" s="36"/>
      <c r="E16" s="37"/>
      <c r="F16" s="37"/>
      <c r="G16" s="37"/>
      <c r="H16" s="38"/>
      <c r="I16" s="38"/>
      <c r="J16" s="45" t="s">
        <v>4</v>
      </c>
      <c r="K16" s="42"/>
      <c r="L16" s="44">
        <f>MIN(L6:L15)</f>
        <v>0</v>
      </c>
      <c r="M16" s="44"/>
      <c r="N16" s="59" t="e">
        <f>MIN(N6:N15)</f>
        <v>#N/A</v>
      </c>
      <c r="O16" s="59"/>
      <c r="P16" s="59" t="e">
        <f t="shared" ref="P16" si="9">MIN(P6:P15)</f>
        <v>#N/A</v>
      </c>
    </row>
    <row r="17" spans="2:16" x14ac:dyDescent="0.25">
      <c r="B17" s="55" t="s">
        <v>31</v>
      </c>
      <c r="C17" s="56"/>
      <c r="D17" s="36"/>
      <c r="E17" s="39"/>
      <c r="F17" s="39"/>
      <c r="G17" s="39"/>
      <c r="H17" s="38"/>
      <c r="I17" s="38"/>
      <c r="J17" s="45" t="s">
        <v>5</v>
      </c>
      <c r="K17" s="42"/>
      <c r="L17" s="44">
        <f>MAX(L6:L15)</f>
        <v>0</v>
      </c>
      <c r="M17" s="44"/>
      <c r="N17" s="59" t="e">
        <f>MAX(N6:N15)</f>
        <v>#N/A</v>
      </c>
      <c r="O17" s="59"/>
      <c r="P17" s="59" t="e">
        <f t="shared" ref="P17" si="10">MAX(P6:P15)</f>
        <v>#N/A</v>
      </c>
    </row>
    <row r="18" spans="2:16" x14ac:dyDescent="0.25">
      <c r="B18" s="68" t="str">
        <f>IF(L18=2, "HALE 2 dominates HALE 1", IF(L18=0, "HALE 1 dominates HALE 2", "HALE 1 &amp; HALE 2 cross"))</f>
        <v>HALE 1 dominates HALE 2</v>
      </c>
      <c r="C18" s="42"/>
      <c r="D18" s="36"/>
      <c r="E18" s="39"/>
      <c r="F18" s="39"/>
      <c r="G18" s="39"/>
      <c r="H18" s="38"/>
      <c r="I18" s="38"/>
      <c r="J18" s="45" t="s">
        <v>24</v>
      </c>
      <c r="K18" s="42"/>
      <c r="L18" s="44">
        <f>L16+L17</f>
        <v>0</v>
      </c>
      <c r="M18" s="44"/>
      <c r="N18" s="44" t="e">
        <f t="shared" ref="N18:P18" si="11">N16+N17</f>
        <v>#N/A</v>
      </c>
      <c r="O18" s="44"/>
      <c r="P18" s="44" t="e">
        <f t="shared" si="11"/>
        <v>#N/A</v>
      </c>
    </row>
    <row r="19" spans="2:16" x14ac:dyDescent="0.25">
      <c r="B19" s="68" t="e">
        <f>IF(N18=2, "HALE 3 dominates HALE 1", IF(N18=0, "HALE 1 dominates HALE 3", "HALE 3 &amp; HALE 1 cross"))</f>
        <v>#N/A</v>
      </c>
      <c r="C19" s="42"/>
    </row>
    <row r="20" spans="2:16" x14ac:dyDescent="0.25">
      <c r="B20" s="68" t="e">
        <f>IF(P18=2, "HALE 3 dominates HALE 2", IF(P18=0, "HALE 2 dominates HALE 3", "HALE 2 &amp; HALE 3 cross"))</f>
        <v>#N/A</v>
      </c>
      <c r="C20" s="42"/>
    </row>
  </sheetData>
  <mergeCells count="3">
    <mergeCell ref="K4:L4"/>
    <mergeCell ref="M4:N4"/>
    <mergeCell ref="O4:P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23"/>
  <sheetViews>
    <sheetView workbookViewId="0"/>
  </sheetViews>
  <sheetFormatPr defaultRowHeight="15" x14ac:dyDescent="0.25"/>
  <cols>
    <col min="1" max="1" width="6.140625" customWidth="1"/>
    <col min="2" max="10" width="11.85546875" customWidth="1"/>
    <col min="11" max="11" width="8.42578125" customWidth="1"/>
    <col min="12" max="12" width="6.85546875" customWidth="1"/>
    <col min="13" max="13" width="7.140625" customWidth="1"/>
    <col min="14" max="14" width="9.140625" customWidth="1"/>
    <col min="15" max="15" width="6.5703125" customWidth="1"/>
    <col min="16" max="16" width="8.140625" customWidth="1"/>
    <col min="17" max="18" width="11.85546875" style="70" customWidth="1"/>
    <col min="19" max="21" width="11.85546875" customWidth="1"/>
  </cols>
  <sheetData>
    <row r="1" spans="1:18" s="86" customFormat="1" ht="18.75" x14ac:dyDescent="0.3">
      <c r="A1" s="108" t="s">
        <v>69</v>
      </c>
      <c r="Q1" s="122"/>
      <c r="R1" s="122"/>
    </row>
    <row r="3" spans="1:18" x14ac:dyDescent="0.25">
      <c r="B3" s="60" t="s">
        <v>17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56"/>
      <c r="R3" s="56"/>
    </row>
    <row r="4" spans="1:18" ht="38.25" x14ac:dyDescent="0.25">
      <c r="B4" s="118" t="s">
        <v>66</v>
      </c>
      <c r="C4" s="21" t="s">
        <v>88</v>
      </c>
      <c r="D4" s="21" t="s">
        <v>87</v>
      </c>
      <c r="E4" s="118">
        <v>1</v>
      </c>
      <c r="F4" s="118">
        <v>2</v>
      </c>
      <c r="G4" s="118">
        <v>3</v>
      </c>
      <c r="H4" s="118" t="s">
        <v>22</v>
      </c>
      <c r="I4" s="118" t="s">
        <v>23</v>
      </c>
      <c r="J4" s="118" t="s">
        <v>25</v>
      </c>
      <c r="K4" s="149" t="s">
        <v>26</v>
      </c>
      <c r="L4" s="149"/>
      <c r="M4" s="149" t="s">
        <v>27</v>
      </c>
      <c r="N4" s="149"/>
      <c r="O4" s="149" t="s">
        <v>28</v>
      </c>
      <c r="P4" s="149"/>
      <c r="Q4" s="69"/>
      <c r="R4" s="69"/>
    </row>
    <row r="5" spans="1:18" x14ac:dyDescent="0.25">
      <c r="B5" s="49">
        <v>0</v>
      </c>
      <c r="C5" s="27">
        <f>FOSD!G19</f>
        <v>0</v>
      </c>
      <c r="D5" s="27">
        <v>0</v>
      </c>
      <c r="E5" s="27">
        <v>0</v>
      </c>
      <c r="F5" s="27">
        <v>0</v>
      </c>
      <c r="G5" s="27">
        <v>0</v>
      </c>
      <c r="H5" s="63">
        <f>F5-E5</f>
        <v>0</v>
      </c>
      <c r="I5" s="63">
        <f>G5-E5</f>
        <v>0</v>
      </c>
      <c r="J5" s="45"/>
      <c r="K5" s="42"/>
      <c r="L5" s="45"/>
      <c r="M5" s="45"/>
      <c r="N5" s="42"/>
      <c r="O5" s="45"/>
      <c r="P5" s="45"/>
      <c r="Q5" s="38"/>
      <c r="R5" s="51"/>
    </row>
    <row r="6" spans="1:18" x14ac:dyDescent="0.25">
      <c r="B6" s="26">
        <v>1</v>
      </c>
      <c r="C6" s="27">
        <f>FOSD!G20</f>
        <v>0</v>
      </c>
      <c r="D6" s="27">
        <f>C6-C5</f>
        <v>0</v>
      </c>
      <c r="E6" s="119"/>
      <c r="F6" s="44" t="e">
        <f>($D6*FOSD!D20)*($C6-$C5)</f>
        <v>#N/A</v>
      </c>
      <c r="G6" s="63" t="e">
        <f>G5+$D6*GLD!G6</f>
        <v>#N/A</v>
      </c>
      <c r="H6" s="139" t="e">
        <f t="shared" ref="H6:H15" si="0">F6-E6</f>
        <v>#N/A</v>
      </c>
      <c r="I6" s="139" t="e">
        <f t="shared" ref="I6:I15" si="1">G6-E6</f>
        <v>#N/A</v>
      </c>
      <c r="J6" s="135" t="e">
        <f>G6-F6</f>
        <v>#N/A</v>
      </c>
      <c r="K6" s="44" t="e">
        <f>IF(H6&gt;0,1,0)</f>
        <v>#N/A</v>
      </c>
      <c r="L6" s="44" t="e">
        <f>IF(H6=0,"",K6)</f>
        <v>#N/A</v>
      </c>
      <c r="M6" s="44" t="e">
        <f>IF(I6&gt;0,1,0)</f>
        <v>#N/A</v>
      </c>
      <c r="N6" s="44" t="e">
        <f>IF(I6=0,"",M6)</f>
        <v>#N/A</v>
      </c>
      <c r="O6" s="44" t="e">
        <f>IF(J6&gt;0,1,0)</f>
        <v>#N/A</v>
      </c>
      <c r="P6" s="44" t="e">
        <f>IF(J6=0,"",O6)</f>
        <v>#N/A</v>
      </c>
      <c r="Q6" s="38"/>
      <c r="R6" s="37"/>
    </row>
    <row r="7" spans="1:18" x14ac:dyDescent="0.25">
      <c r="B7" s="26">
        <v>2</v>
      </c>
      <c r="C7" s="27">
        <f>FOSD!G21</f>
        <v>0</v>
      </c>
      <c r="D7" s="27">
        <f t="shared" ref="D7:D15" si="2">C7-C6</f>
        <v>0</v>
      </c>
      <c r="E7" s="119"/>
      <c r="F7" s="44" t="e">
        <f>($D6*FOSD!D20)*($C7-$C5)+($D7*FOSD!D21)*($C7-$C6)</f>
        <v>#N/A</v>
      </c>
      <c r="G7" s="63" t="e">
        <f>G6+$D7*GLD!G7</f>
        <v>#N/A</v>
      </c>
      <c r="H7" s="139" t="e">
        <f t="shared" si="0"/>
        <v>#N/A</v>
      </c>
      <c r="I7" s="139" t="e">
        <f t="shared" si="1"/>
        <v>#N/A</v>
      </c>
      <c r="J7" s="135" t="e">
        <f t="shared" ref="J7:J15" si="3">G7-F7</f>
        <v>#N/A</v>
      </c>
      <c r="K7" s="44" t="e">
        <f t="shared" ref="K7:K15" si="4">IF(H7&gt;0,1,0)</f>
        <v>#N/A</v>
      </c>
      <c r="L7" s="44" t="e">
        <f t="shared" ref="L7:L15" si="5">IF(H7=0,"",K7)</f>
        <v>#N/A</v>
      </c>
      <c r="M7" s="44" t="e">
        <f t="shared" ref="M7:M15" si="6">IF(I7&gt;0,1,0)</f>
        <v>#N/A</v>
      </c>
      <c r="N7" s="44" t="e">
        <f t="shared" ref="N7:N15" si="7">IF(I7=0,"",M7)</f>
        <v>#N/A</v>
      </c>
      <c r="O7" s="44" t="e">
        <f t="shared" ref="O7:O15" si="8">IF(J7&gt;0,1,0)</f>
        <v>#N/A</v>
      </c>
      <c r="P7" s="44" t="e">
        <f t="shared" ref="P7:P15" si="9">IF(J7=0,"",O7)</f>
        <v>#N/A</v>
      </c>
      <c r="Q7" s="38"/>
      <c r="R7" s="37"/>
    </row>
    <row r="8" spans="1:18" x14ac:dyDescent="0.25">
      <c r="B8" s="26">
        <v>3</v>
      </c>
      <c r="C8" s="27">
        <f>FOSD!G22</f>
        <v>0</v>
      </c>
      <c r="D8" s="27">
        <f t="shared" si="2"/>
        <v>0</v>
      </c>
      <c r="E8" s="119"/>
      <c r="F8" s="44" t="e">
        <f>($D6*FOSD!D20)*($C8-$C5)+($D7*FOSD!D21)*($C8-$C6)+($D8*FOSD!D22)*($C8-$C7)</f>
        <v>#N/A</v>
      </c>
      <c r="G8" s="63" t="e">
        <f>G7+$D8*GLD!G8</f>
        <v>#N/A</v>
      </c>
      <c r="H8" s="139" t="e">
        <f t="shared" si="0"/>
        <v>#N/A</v>
      </c>
      <c r="I8" s="139" t="e">
        <f t="shared" si="1"/>
        <v>#N/A</v>
      </c>
      <c r="J8" s="135" t="e">
        <f t="shared" si="3"/>
        <v>#N/A</v>
      </c>
      <c r="K8" s="44" t="e">
        <f t="shared" si="4"/>
        <v>#N/A</v>
      </c>
      <c r="L8" s="44" t="e">
        <f t="shared" si="5"/>
        <v>#N/A</v>
      </c>
      <c r="M8" s="44" t="e">
        <f t="shared" si="6"/>
        <v>#N/A</v>
      </c>
      <c r="N8" s="44" t="e">
        <f t="shared" si="7"/>
        <v>#N/A</v>
      </c>
      <c r="O8" s="44" t="e">
        <f t="shared" si="8"/>
        <v>#N/A</v>
      </c>
      <c r="P8" s="44" t="e">
        <f t="shared" si="9"/>
        <v>#N/A</v>
      </c>
      <c r="Q8" s="38"/>
      <c r="R8" s="37"/>
    </row>
    <row r="9" spans="1:18" x14ac:dyDescent="0.25">
      <c r="B9" s="26">
        <v>4</v>
      </c>
      <c r="C9" s="27">
        <f>FOSD!G23</f>
        <v>0</v>
      </c>
      <c r="D9" s="27">
        <f t="shared" si="2"/>
        <v>0</v>
      </c>
      <c r="E9" s="44">
        <f>($D6*FOSD!C20)*($C9-$C5)+($D7*FOSD!C21)*($C9-$C6)+($D8*FOSD!C22)*($C9-$C7)+($D9*FOSD!C23)*($C9-$C8)</f>
        <v>0</v>
      </c>
      <c r="F9" s="44" t="e">
        <f>($D6*FOSD!D20)*($C9-$C5)+($D7*FOSD!D21)*($C9-$C6)+($D8*FOSD!D22)*($C9-$C7)+($D9*FOSD!D23)*($C9-$C8)</f>
        <v>#N/A</v>
      </c>
      <c r="G9" s="63" t="e">
        <f>G8+$D9*GLD!G9</f>
        <v>#N/A</v>
      </c>
      <c r="H9" s="139" t="e">
        <f t="shared" si="0"/>
        <v>#N/A</v>
      </c>
      <c r="I9" s="139" t="e">
        <f t="shared" si="1"/>
        <v>#N/A</v>
      </c>
      <c r="J9" s="135" t="e">
        <f t="shared" si="3"/>
        <v>#N/A</v>
      </c>
      <c r="K9" s="44" t="e">
        <f t="shared" si="4"/>
        <v>#N/A</v>
      </c>
      <c r="L9" s="44" t="e">
        <f t="shared" si="5"/>
        <v>#N/A</v>
      </c>
      <c r="M9" s="44" t="e">
        <f t="shared" si="6"/>
        <v>#N/A</v>
      </c>
      <c r="N9" s="44" t="e">
        <f t="shared" si="7"/>
        <v>#N/A</v>
      </c>
      <c r="O9" s="44" t="e">
        <f t="shared" si="8"/>
        <v>#N/A</v>
      </c>
      <c r="P9" s="44" t="e">
        <f t="shared" si="9"/>
        <v>#N/A</v>
      </c>
      <c r="Q9" s="38"/>
      <c r="R9" s="37"/>
    </row>
    <row r="10" spans="1:18" x14ac:dyDescent="0.25">
      <c r="B10" s="26">
        <v>5</v>
      </c>
      <c r="C10" s="27">
        <f>FOSD!G24</f>
        <v>0</v>
      </c>
      <c r="D10" s="27">
        <f t="shared" si="2"/>
        <v>0</v>
      </c>
      <c r="E10" s="44">
        <f>($D6*FOSD!C20)*($C10-$C5)+($D7*FOSD!C21)*($C10-$C6)+($D8*FOSD!C22)*($C10-$C7)+($D9*FOSD!C23)*($C10-$C8)+($D10*FOSD!C24)*($C10-$C9)</f>
        <v>0</v>
      </c>
      <c r="F10" s="44" t="e">
        <f>($D6*FOSD!D20)*($C10-$C5)+($D7*FOSD!D21)*($C10-$C6)+($D8*FOSD!D22)*($C10-$C7)+($D9*FOSD!D23)*($C10-$C8)+($D10*FOSD!D24)*($C10-$C9)</f>
        <v>#N/A</v>
      </c>
      <c r="G10" s="63" t="e">
        <f>G9+$D10*GLD!G10</f>
        <v>#N/A</v>
      </c>
      <c r="H10" s="139" t="e">
        <f t="shared" si="0"/>
        <v>#N/A</v>
      </c>
      <c r="I10" s="139" t="e">
        <f t="shared" si="1"/>
        <v>#N/A</v>
      </c>
      <c r="J10" s="135" t="e">
        <f t="shared" si="3"/>
        <v>#N/A</v>
      </c>
      <c r="K10" s="44" t="e">
        <f t="shared" si="4"/>
        <v>#N/A</v>
      </c>
      <c r="L10" s="44" t="e">
        <f t="shared" si="5"/>
        <v>#N/A</v>
      </c>
      <c r="M10" s="44" t="e">
        <f t="shared" si="6"/>
        <v>#N/A</v>
      </c>
      <c r="N10" s="44" t="e">
        <f t="shared" si="7"/>
        <v>#N/A</v>
      </c>
      <c r="O10" s="44" t="e">
        <f t="shared" si="8"/>
        <v>#N/A</v>
      </c>
      <c r="P10" s="44" t="e">
        <f t="shared" si="9"/>
        <v>#N/A</v>
      </c>
      <c r="Q10" s="38"/>
      <c r="R10" s="37"/>
    </row>
    <row r="11" spans="1:18" x14ac:dyDescent="0.25">
      <c r="B11" s="26">
        <v>6</v>
      </c>
      <c r="C11" s="27">
        <f>FOSD!G25</f>
        <v>0</v>
      </c>
      <c r="D11" s="27">
        <f t="shared" si="2"/>
        <v>0</v>
      </c>
      <c r="E11" s="44">
        <f>($D6*FOSD!C20)*($C11-$C5)+($D7*FOSD!C21)*($C11-$C6)+($D8*FOSD!C22)*($C11-$C7)+($D9*FOSD!C23)*($C11-$C8)+($D10*FOSD!C24)*($C11-$C9)+($D11*FOSD!C25)*($C11-$C10)</f>
        <v>0</v>
      </c>
      <c r="F11" s="44" t="e">
        <f>($D6*FOSD!D20)*($C11-$C5)+($D7*FOSD!D21)*($C11-$C6)+($D8*FOSD!D22)*($C11-$C7)+($D9*FOSD!D23)*($C11-$C8)+($D10*FOSD!D24)*($C11-$C9)+($D11*FOSD!D25)*($C11-$C10)</f>
        <v>#N/A</v>
      </c>
      <c r="G11" s="63" t="e">
        <f>G10+$D11*GLD!G11</f>
        <v>#N/A</v>
      </c>
      <c r="H11" s="139" t="e">
        <f t="shared" si="0"/>
        <v>#N/A</v>
      </c>
      <c r="I11" s="139" t="e">
        <f t="shared" si="1"/>
        <v>#N/A</v>
      </c>
      <c r="J11" s="135" t="e">
        <f t="shared" si="3"/>
        <v>#N/A</v>
      </c>
      <c r="K11" s="44" t="e">
        <f t="shared" si="4"/>
        <v>#N/A</v>
      </c>
      <c r="L11" s="44" t="e">
        <f t="shared" si="5"/>
        <v>#N/A</v>
      </c>
      <c r="M11" s="44" t="e">
        <f t="shared" si="6"/>
        <v>#N/A</v>
      </c>
      <c r="N11" s="44" t="e">
        <f t="shared" si="7"/>
        <v>#N/A</v>
      </c>
      <c r="O11" s="44" t="e">
        <f t="shared" si="8"/>
        <v>#N/A</v>
      </c>
      <c r="P11" s="44" t="e">
        <f t="shared" si="9"/>
        <v>#N/A</v>
      </c>
      <c r="Q11" s="38"/>
      <c r="R11" s="37"/>
    </row>
    <row r="12" spans="1:18" x14ac:dyDescent="0.25">
      <c r="B12" s="26">
        <v>7</v>
      </c>
      <c r="C12" s="27">
        <f>FOSD!G26</f>
        <v>0</v>
      </c>
      <c r="D12" s="27">
        <f t="shared" si="2"/>
        <v>0</v>
      </c>
      <c r="E12" s="44">
        <f>($D6*FOSD!C20)*($C12-$C5)+($D7*FOSD!C21)*($C12-$C6)+($D8*FOSD!C22)*($C12-$C7)+($D9*FOSD!C23)*($C12-$C8)+($D10*FOSD!C24)*($C12-$C9)+($D11*FOSD!C25)*($C12-$C10)+($D12*FOSD!C26)*($C12-$C11)</f>
        <v>0</v>
      </c>
      <c r="F12" s="44" t="e">
        <f>($D6*FOSD!D20)*($C12-$C5)+($D7*FOSD!D21)*($C12-$C6)+($D8*FOSD!D22)*($C12-$C7)+($D9*FOSD!D23)*($C12-$C8)+($D10*FOSD!D24)*($C12-$C9)+($D11*FOSD!D25)*($C12-$C10)+($D12*FOSD!D26)*($C12-$C11)</f>
        <v>#N/A</v>
      </c>
      <c r="G12" s="63" t="e">
        <f>G11+$D12*GLD!G12</f>
        <v>#N/A</v>
      </c>
      <c r="H12" s="139" t="e">
        <f t="shared" si="0"/>
        <v>#N/A</v>
      </c>
      <c r="I12" s="139" t="e">
        <f t="shared" si="1"/>
        <v>#N/A</v>
      </c>
      <c r="J12" s="135" t="e">
        <f t="shared" si="3"/>
        <v>#N/A</v>
      </c>
      <c r="K12" s="44" t="e">
        <f t="shared" si="4"/>
        <v>#N/A</v>
      </c>
      <c r="L12" s="44" t="e">
        <f t="shared" si="5"/>
        <v>#N/A</v>
      </c>
      <c r="M12" s="44" t="e">
        <f t="shared" si="6"/>
        <v>#N/A</v>
      </c>
      <c r="N12" s="44" t="e">
        <f t="shared" si="7"/>
        <v>#N/A</v>
      </c>
      <c r="O12" s="44" t="e">
        <f t="shared" si="8"/>
        <v>#N/A</v>
      </c>
      <c r="P12" s="44" t="e">
        <f t="shared" si="9"/>
        <v>#N/A</v>
      </c>
      <c r="Q12" s="38"/>
      <c r="R12" s="37"/>
    </row>
    <row r="13" spans="1:18" x14ac:dyDescent="0.25">
      <c r="B13" s="26">
        <v>8</v>
      </c>
      <c r="C13" s="27">
        <f>FOSD!G27</f>
        <v>0</v>
      </c>
      <c r="D13" s="27">
        <f t="shared" si="2"/>
        <v>0</v>
      </c>
      <c r="E13" s="44">
        <f>($D6*FOSD!C20)*($C13-$C5)+($D7*FOSD!C21)*($C13-$C6)+($D8*FOSD!C22)*($C13-$C7)+($D9*FOSD!C23)*($C13-$C8)+($D10*FOSD!C24)*($C13-$C9)+($D11*FOSD!C25)*($C13-$C10)+($D12*FOSD!C26)*($C13-$C11)+($D13*FOSD!C27)*($C13-$C12)</f>
        <v>0</v>
      </c>
      <c r="F13" s="44" t="e">
        <f>($D6*FOSD!D20)*($C13-$C5)+($D7*FOSD!D21)*($C13-$C6)+($D8*FOSD!D22)*($C13-$C7)+($D9*FOSD!D23)*($C13-$C8)+($D10*FOSD!D24)*($C13-$C9)+($D11*FOSD!D25)*($C13-$C10)+($D12*FOSD!D26)*($C13-$C11)+($D13*FOSD!D27)*($C13-$C12)</f>
        <v>#N/A</v>
      </c>
      <c r="G13" s="63" t="e">
        <f>G12+$D13*GLD!G13</f>
        <v>#N/A</v>
      </c>
      <c r="H13" s="139" t="e">
        <f t="shared" si="0"/>
        <v>#N/A</v>
      </c>
      <c r="I13" s="139" t="e">
        <f t="shared" si="1"/>
        <v>#N/A</v>
      </c>
      <c r="J13" s="135" t="e">
        <f t="shared" si="3"/>
        <v>#N/A</v>
      </c>
      <c r="K13" s="44" t="e">
        <f t="shared" si="4"/>
        <v>#N/A</v>
      </c>
      <c r="L13" s="44" t="e">
        <f t="shared" si="5"/>
        <v>#N/A</v>
      </c>
      <c r="M13" s="44" t="e">
        <f t="shared" si="6"/>
        <v>#N/A</v>
      </c>
      <c r="N13" s="44" t="e">
        <f t="shared" si="7"/>
        <v>#N/A</v>
      </c>
      <c r="O13" s="44" t="e">
        <f t="shared" si="8"/>
        <v>#N/A</v>
      </c>
      <c r="P13" s="44" t="e">
        <f t="shared" si="9"/>
        <v>#N/A</v>
      </c>
      <c r="Q13" s="38"/>
      <c r="R13" s="37"/>
    </row>
    <row r="14" spans="1:18" x14ac:dyDescent="0.25">
      <c r="B14" s="26">
        <v>9</v>
      </c>
      <c r="C14" s="27">
        <f>FOSD!G28</f>
        <v>0</v>
      </c>
      <c r="D14" s="27">
        <f t="shared" si="2"/>
        <v>0</v>
      </c>
      <c r="E14" s="44">
        <f>($D6*FOSD!C20)*($C14-$C5)+($D7*FOSD!C21)*($C14-$C6)+($D8*FOSD!C22)*($C14-$C7)+($D9*FOSD!C23)*($C14-$C8)+($D10*FOSD!C24)*($C14-$C9)+($D11*FOSD!C25)*($C14-$C10)+($D12*FOSD!C26)*($C14-$C11)+($D13*FOSD!C27)*($C14-$C12)+($D14*FOSD!C28)*($C14-$C13)</f>
        <v>0</v>
      </c>
      <c r="F14" s="44" t="e">
        <f>($D6*FOSD!D20)*($C14-$C5)+($D7*FOSD!D21)*($C14-$C6)+($D8*FOSD!D22)*($C14-$C7)+($D9*FOSD!D23)*($C14-$C8)+($D10*FOSD!D24)*($C14-$C9)+($D11*FOSD!D25)*($C14-$C10)+($D12*FOSD!D26)*($C14-$C11)+($D13*FOSD!D27)*($C14-$C12)+($D14*FOSD!D28)*($C14-$C13)</f>
        <v>#N/A</v>
      </c>
      <c r="G14" s="63" t="e">
        <f>G13+$D14*GLD!G14</f>
        <v>#N/A</v>
      </c>
      <c r="H14" s="139" t="e">
        <f t="shared" si="0"/>
        <v>#N/A</v>
      </c>
      <c r="I14" s="139" t="e">
        <f t="shared" si="1"/>
        <v>#N/A</v>
      </c>
      <c r="J14" s="135" t="e">
        <f t="shared" si="3"/>
        <v>#N/A</v>
      </c>
      <c r="K14" s="44" t="e">
        <f t="shared" si="4"/>
        <v>#N/A</v>
      </c>
      <c r="L14" s="44" t="e">
        <f t="shared" si="5"/>
        <v>#N/A</v>
      </c>
      <c r="M14" s="44" t="e">
        <f t="shared" si="6"/>
        <v>#N/A</v>
      </c>
      <c r="N14" s="44" t="e">
        <f t="shared" si="7"/>
        <v>#N/A</v>
      </c>
      <c r="O14" s="44" t="e">
        <f t="shared" si="8"/>
        <v>#N/A</v>
      </c>
      <c r="P14" s="44" t="e">
        <f t="shared" si="9"/>
        <v>#N/A</v>
      </c>
      <c r="Q14" s="38"/>
      <c r="R14" s="37"/>
    </row>
    <row r="15" spans="1:18" x14ac:dyDescent="0.25">
      <c r="B15" s="26">
        <v>10</v>
      </c>
      <c r="C15" s="27">
        <f>FOSD!G29</f>
        <v>0</v>
      </c>
      <c r="D15" s="27">
        <f t="shared" si="2"/>
        <v>0</v>
      </c>
      <c r="E15" s="44">
        <f>($D6*FOSD!C20)*($C15-$C5)+($D7*FOSD!C21)*($C15-$C6)+($D8*FOSD!C22)*($C15-$C7)+($D9*FOSD!C23)*($C15-$C8)+($D10*FOSD!C24)*($C15-$C9)+($D11*FOSD!C25)*($C15-$C10)+($D12*FOSD!C26)*($C15-$C11)+($D13*FOSD!C27)*($C15-$C12)+($D14*FOSD!C28)*($C15-$C13)+($D15*FOSD!C29)*($C15-$C14)</f>
        <v>0</v>
      </c>
      <c r="F15" s="44" t="e">
        <f>($D6*FOSD!D20)*($C15-$C5)+($D7*FOSD!D21)*($C15-$C6)+($D8*FOSD!D22)*($C15-$C7)+($D9*FOSD!D23)*($C15-$C8)+($D10*FOSD!D24)*($C15-$C9)+($D11*FOSD!D25)*($C15-$C10)+($D12*FOSD!D26)*($C15-$C11)+($D13*FOSD!D27)*($C15-$C12)+($D14*FOSD!D28)*($C15-$C13)+($D15*FOSD!D29)*($C15-$C14)</f>
        <v>#N/A</v>
      </c>
      <c r="G15" s="63" t="e">
        <f>G14+$D15*GLD!G15</f>
        <v>#N/A</v>
      </c>
      <c r="H15" s="139" t="e">
        <f t="shared" si="0"/>
        <v>#N/A</v>
      </c>
      <c r="I15" s="139" t="e">
        <f t="shared" si="1"/>
        <v>#N/A</v>
      </c>
      <c r="J15" s="135" t="e">
        <f t="shared" si="3"/>
        <v>#N/A</v>
      </c>
      <c r="K15" s="44" t="e">
        <f t="shared" si="4"/>
        <v>#N/A</v>
      </c>
      <c r="L15" s="44" t="e">
        <f t="shared" si="5"/>
        <v>#N/A</v>
      </c>
      <c r="M15" s="44" t="e">
        <f t="shared" si="6"/>
        <v>#N/A</v>
      </c>
      <c r="N15" s="44" t="e">
        <f t="shared" si="7"/>
        <v>#N/A</v>
      </c>
      <c r="O15" s="44" t="e">
        <f t="shared" si="8"/>
        <v>#N/A</v>
      </c>
      <c r="P15" s="44" t="e">
        <f t="shared" si="9"/>
        <v>#N/A</v>
      </c>
      <c r="Q15" s="38"/>
      <c r="R15" s="37"/>
    </row>
    <row r="16" spans="1:18" x14ac:dyDescent="0.25">
      <c r="B16" s="62"/>
      <c r="C16" s="62"/>
      <c r="D16" s="62"/>
      <c r="E16" s="62"/>
      <c r="F16" s="62"/>
      <c r="G16" s="62"/>
      <c r="H16" s="62"/>
      <c r="I16" s="62"/>
      <c r="J16" s="45" t="s">
        <v>4</v>
      </c>
      <c r="K16" s="59"/>
      <c r="L16" s="44" t="e">
        <f>MIN(L6:L15)</f>
        <v>#N/A</v>
      </c>
      <c r="M16" s="44"/>
      <c r="N16" s="44" t="e">
        <f t="shared" ref="N16:P16" si="10">MIN(N6:N15)</f>
        <v>#N/A</v>
      </c>
      <c r="O16" s="44"/>
      <c r="P16" s="44" t="e">
        <f t="shared" si="10"/>
        <v>#N/A</v>
      </c>
      <c r="Q16" s="51"/>
      <c r="R16" s="37"/>
    </row>
    <row r="17" spans="2:18" x14ac:dyDescent="0.25">
      <c r="B17" s="19" t="s">
        <v>32</v>
      </c>
      <c r="C17" s="62"/>
      <c r="D17" s="62"/>
      <c r="E17" s="62"/>
      <c r="F17" s="62"/>
      <c r="G17" s="62"/>
      <c r="H17" s="62"/>
      <c r="I17" s="62"/>
      <c r="J17" s="45" t="s">
        <v>5</v>
      </c>
      <c r="K17" s="59"/>
      <c r="L17" s="44" t="e">
        <f>MAX(L6:L15)</f>
        <v>#N/A</v>
      </c>
      <c r="M17" s="44"/>
      <c r="N17" s="44" t="e">
        <f t="shared" ref="N17:P17" si="11">MAX(N6:N15)</f>
        <v>#N/A</v>
      </c>
      <c r="O17" s="44"/>
      <c r="P17" s="44" t="e">
        <f t="shared" si="11"/>
        <v>#N/A</v>
      </c>
      <c r="Q17" s="51"/>
      <c r="R17" s="37"/>
    </row>
    <row r="18" spans="2:18" x14ac:dyDescent="0.25">
      <c r="B18" s="68" t="e">
        <f>IF(L18=2, "2 dominates 1", IF(L18=0, "1 dominates 2", "1 &amp; 2 cross"))</f>
        <v>#N/A</v>
      </c>
      <c r="C18" s="63"/>
      <c r="D18" s="62"/>
      <c r="E18" s="62"/>
      <c r="F18" s="62"/>
      <c r="G18" s="62"/>
      <c r="H18" s="62"/>
      <c r="I18" s="62"/>
      <c r="J18" s="45" t="s">
        <v>24</v>
      </c>
      <c r="K18" s="42"/>
      <c r="L18" s="44" t="e">
        <f>L16+L17</f>
        <v>#N/A</v>
      </c>
      <c r="M18" s="44"/>
      <c r="N18" s="44" t="e">
        <f t="shared" ref="N18:P18" si="12">N16+N17</f>
        <v>#N/A</v>
      </c>
      <c r="O18" s="44"/>
      <c r="P18" s="44" t="e">
        <f t="shared" si="12"/>
        <v>#N/A</v>
      </c>
      <c r="Q18" s="51"/>
      <c r="R18" s="38"/>
    </row>
    <row r="19" spans="2:18" x14ac:dyDescent="0.25">
      <c r="B19" s="68" t="e">
        <f>IF(N18=2, "3 dominates 1", IF(N18=0, "1 dominates 3", "3 &amp; 1 cross"))</f>
        <v>#N/A</v>
      </c>
      <c r="C19" s="63"/>
      <c r="D19" s="62"/>
      <c r="E19" s="62"/>
      <c r="F19" s="62"/>
      <c r="G19" s="62"/>
      <c r="H19" s="62"/>
      <c r="I19" s="62"/>
      <c r="J19" s="39"/>
      <c r="K19" s="36"/>
      <c r="L19" s="39"/>
      <c r="M19" s="39"/>
      <c r="N19" s="36"/>
      <c r="O19" s="39"/>
      <c r="P19" s="39"/>
      <c r="Q19" s="51"/>
      <c r="R19" s="38"/>
    </row>
    <row r="20" spans="2:18" x14ac:dyDescent="0.25">
      <c r="B20" s="68" t="e">
        <f>IF(P18=2, "3 dominates 2", IF(P18=0, "2 dominates 3", "2 &amp; 3 cross"))</f>
        <v>#N/A</v>
      </c>
      <c r="C20" s="63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R20" s="71"/>
    </row>
    <row r="21" spans="2:18" x14ac:dyDescent="0.25"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R21" s="71"/>
    </row>
    <row r="22" spans="2:18" x14ac:dyDescent="0.25"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R22" s="71"/>
    </row>
    <row r="23" spans="2:18" x14ac:dyDescent="0.25"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R23" s="71"/>
    </row>
  </sheetData>
  <mergeCells count="3">
    <mergeCell ref="K4:L4"/>
    <mergeCell ref="M4:N4"/>
    <mergeCell ref="O4:P4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1"/>
  <sheetViews>
    <sheetView workbookViewId="0"/>
  </sheetViews>
  <sheetFormatPr defaultRowHeight="15" x14ac:dyDescent="0.25"/>
  <cols>
    <col min="2" max="2" width="16.28515625" customWidth="1"/>
    <col min="3" max="3" width="12.140625" customWidth="1"/>
    <col min="4" max="5" width="11.7109375" customWidth="1"/>
    <col min="6" max="6" width="13" customWidth="1"/>
    <col min="7" max="7" width="7.28515625" customWidth="1"/>
    <col min="8" max="8" width="10.42578125" customWidth="1"/>
    <col min="9" max="9" width="10.7109375" customWidth="1"/>
    <col min="10" max="10" width="10.140625" customWidth="1"/>
  </cols>
  <sheetData>
    <row r="1" spans="1:10" ht="18.75" x14ac:dyDescent="0.3">
      <c r="A1" s="108" t="s">
        <v>81</v>
      </c>
    </row>
    <row r="2" spans="1:10" ht="18.75" x14ac:dyDescent="0.3">
      <c r="B2" s="108"/>
    </row>
    <row r="3" spans="1:10" ht="30.75" customHeight="1" x14ac:dyDescent="0.25">
      <c r="B3" s="151" t="s">
        <v>84</v>
      </c>
      <c r="C3" s="151"/>
      <c r="D3" s="151"/>
      <c r="E3" s="151"/>
      <c r="F3" s="151"/>
      <c r="G3" s="151"/>
      <c r="H3" s="151"/>
      <c r="I3" s="151"/>
      <c r="J3" s="151"/>
    </row>
    <row r="4" spans="1:10" ht="30" customHeight="1" x14ac:dyDescent="0.25">
      <c r="D4" s="150" t="s">
        <v>92</v>
      </c>
      <c r="E4" s="150"/>
      <c r="F4" s="150"/>
      <c r="H4" s="150" t="s">
        <v>83</v>
      </c>
      <c r="I4" s="150"/>
      <c r="J4" s="150"/>
    </row>
    <row r="5" spans="1:10" ht="25.5" x14ac:dyDescent="0.25">
      <c r="B5" s="83" t="s">
        <v>76</v>
      </c>
      <c r="C5" s="21" t="s">
        <v>71</v>
      </c>
      <c r="D5" s="21" t="s">
        <v>19</v>
      </c>
      <c r="E5" s="21" t="s">
        <v>20</v>
      </c>
      <c r="F5" s="21" t="s">
        <v>21</v>
      </c>
      <c r="G5" s="21"/>
      <c r="H5" s="110" t="s">
        <v>51</v>
      </c>
      <c r="I5" s="110" t="s">
        <v>52</v>
      </c>
      <c r="J5" s="110" t="s">
        <v>53</v>
      </c>
    </row>
    <row r="6" spans="1:10" x14ac:dyDescent="0.25">
      <c r="B6" s="58" t="s">
        <v>79</v>
      </c>
      <c r="C6" s="104">
        <v>11239243</v>
      </c>
      <c r="D6" s="105">
        <v>63.34426655613548</v>
      </c>
      <c r="E6" s="105">
        <v>63.344402895450415</v>
      </c>
      <c r="F6" s="105">
        <v>63.344442275996762</v>
      </c>
      <c r="G6" s="105"/>
      <c r="H6" s="109">
        <f>$C6*E6-$C6*D6</f>
        <v>1532.3506909608841</v>
      </c>
      <c r="I6" s="109">
        <f>$C6*F6-$C6*D6</f>
        <v>1974.9582208395004</v>
      </c>
      <c r="J6" s="113"/>
    </row>
    <row r="7" spans="1:10" x14ac:dyDescent="0.25">
      <c r="B7" s="58">
        <v>2</v>
      </c>
      <c r="C7" s="104">
        <v>11382030</v>
      </c>
      <c r="D7" s="105">
        <v>68.779325031978331</v>
      </c>
      <c r="E7" s="105">
        <v>68.77942022145163</v>
      </c>
      <c r="F7" s="105">
        <v>68.779421405743662</v>
      </c>
      <c r="G7" s="105"/>
      <c r="H7" s="109">
        <f t="shared" ref="H7:H10" si="0">$C7*E7-$C7*D7</f>
        <v>1083.4494407176971</v>
      </c>
      <c r="I7" s="109">
        <f t="shared" ref="I7:I10" si="1">$C7*F7-$C7*D7</f>
        <v>1096.9290881156921</v>
      </c>
      <c r="J7" s="113"/>
    </row>
    <row r="8" spans="1:10" x14ac:dyDescent="0.25">
      <c r="B8" s="58">
        <v>3</v>
      </c>
      <c r="C8" s="104">
        <v>11090316</v>
      </c>
      <c r="D8" s="105">
        <v>70.865612456999756</v>
      </c>
      <c r="E8" s="105">
        <v>70.865718865139243</v>
      </c>
      <c r="F8" s="105">
        <v>70.86569905641889</v>
      </c>
      <c r="G8" s="105"/>
      <c r="H8" s="109">
        <f t="shared" si="0"/>
        <v>1180.0998917818069</v>
      </c>
      <c r="I8" s="109">
        <f t="shared" si="1"/>
        <v>960.41492354869843</v>
      </c>
      <c r="J8" s="113"/>
    </row>
    <row r="9" spans="1:10" x14ac:dyDescent="0.25">
      <c r="B9" s="58">
        <v>4</v>
      </c>
      <c r="C9" s="104">
        <v>10895919</v>
      </c>
      <c r="D9" s="105">
        <v>74.325243200694047</v>
      </c>
      <c r="E9" s="105">
        <v>74.325306908405608</v>
      </c>
      <c r="F9" s="105">
        <v>74.325285849028361</v>
      </c>
      <c r="G9" s="105"/>
      <c r="H9" s="109">
        <f t="shared" si="0"/>
        <v>694.15406477451324</v>
      </c>
      <c r="I9" s="109">
        <f t="shared" si="1"/>
        <v>464.69279611110687</v>
      </c>
      <c r="J9" s="113"/>
    </row>
    <row r="10" spans="1:10" x14ac:dyDescent="0.25">
      <c r="B10" s="58" t="s">
        <v>80</v>
      </c>
      <c r="C10" s="104">
        <v>10660559</v>
      </c>
      <c r="D10" s="105">
        <v>76.245494462730292</v>
      </c>
      <c r="E10" s="105">
        <v>76.245556018439885</v>
      </c>
      <c r="F10" s="105">
        <v>76.245537401282249</v>
      </c>
      <c r="G10" s="105"/>
      <c r="H10" s="109">
        <f t="shared" si="0"/>
        <v>656.21827387809753</v>
      </c>
      <c r="I10" s="109">
        <f t="shared" si="1"/>
        <v>457.74896657466888</v>
      </c>
      <c r="J10" s="113"/>
    </row>
    <row r="11" spans="1:10" ht="26.25" x14ac:dyDescent="0.25">
      <c r="B11" s="123" t="s">
        <v>73</v>
      </c>
      <c r="C11" s="74"/>
      <c r="D11" s="141">
        <f>SUMPRODUCT($C$6:$C$10,D6:D10)/SUM($C$6:$C$10)</f>
        <v>70.62619727284374</v>
      </c>
      <c r="E11" s="141">
        <f t="shared" ref="E11:F11" si="2">SUMPRODUCT($C$6:$C$10,E6:E10)/SUM($C$6:$C$10)</f>
        <v>70.626290387595901</v>
      </c>
      <c r="F11" s="141">
        <f t="shared" si="2"/>
        <v>70.626286922152346</v>
      </c>
      <c r="G11" s="125" t="s">
        <v>82</v>
      </c>
      <c r="H11" s="124">
        <f>SUM(H6:H10)</f>
        <v>5146.272362112999</v>
      </c>
      <c r="I11" s="124">
        <f>SUM(I6:I10)</f>
        <v>4954.7439951896667</v>
      </c>
      <c r="J11" s="124">
        <f>SUM(J6:J10)</f>
        <v>0</v>
      </c>
    </row>
  </sheetData>
  <mergeCells count="3">
    <mergeCell ref="H4:J4"/>
    <mergeCell ref="B3:J3"/>
    <mergeCell ref="D4:F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23"/>
  <sheetViews>
    <sheetView workbookViewId="0"/>
  </sheetViews>
  <sheetFormatPr defaultRowHeight="15" x14ac:dyDescent="0.25"/>
  <cols>
    <col min="1" max="1" width="6.28515625" customWidth="1"/>
    <col min="2" max="2" width="16.28515625" customWidth="1"/>
    <col min="3" max="3" width="12.140625" customWidth="1"/>
    <col min="4" max="5" width="11.7109375" customWidth="1"/>
    <col min="6" max="6" width="13" customWidth="1"/>
    <col min="7" max="13" width="11.7109375" customWidth="1"/>
    <col min="14" max="14" width="11.140625" customWidth="1"/>
    <col min="15" max="15" width="9.140625" customWidth="1"/>
    <col min="16" max="16" width="13.140625" customWidth="1"/>
    <col min="17" max="17" width="11.140625" customWidth="1"/>
    <col min="18" max="18" width="11.7109375" customWidth="1"/>
    <col min="19" max="19" width="13.140625" customWidth="1"/>
    <col min="20" max="20" width="12.85546875" customWidth="1"/>
    <col min="22" max="22" width="13.5703125" customWidth="1"/>
  </cols>
  <sheetData>
    <row r="1" spans="1:22" s="86" customFormat="1" ht="18.75" x14ac:dyDescent="0.3">
      <c r="A1" s="108" t="s">
        <v>75</v>
      </c>
    </row>
    <row r="3" spans="1:22" ht="21" customHeight="1" x14ac:dyDescent="0.25">
      <c r="B3" s="60" t="s">
        <v>37</v>
      </c>
      <c r="C3" s="64"/>
      <c r="D3" s="64"/>
      <c r="E3" s="84"/>
      <c r="F3" s="84"/>
      <c r="G3" s="84"/>
      <c r="H3" s="62"/>
      <c r="I3" s="150" t="s">
        <v>90</v>
      </c>
      <c r="J3" s="150"/>
      <c r="K3" s="150"/>
      <c r="L3" s="62"/>
      <c r="M3" s="62"/>
      <c r="N3" s="62"/>
      <c r="O3" s="62"/>
      <c r="P3" s="62"/>
      <c r="Q3" s="62"/>
      <c r="R3" s="62"/>
    </row>
    <row r="4" spans="1:22" ht="38.25" x14ac:dyDescent="0.25">
      <c r="B4" s="83" t="s">
        <v>76</v>
      </c>
      <c r="C4" s="21" t="s">
        <v>71</v>
      </c>
      <c r="D4" s="21" t="s">
        <v>19</v>
      </c>
      <c r="E4" s="21" t="s">
        <v>20</v>
      </c>
      <c r="F4" s="21" t="s">
        <v>21</v>
      </c>
      <c r="G4" s="21" t="s">
        <v>88</v>
      </c>
      <c r="H4" s="21" t="s">
        <v>87</v>
      </c>
      <c r="I4" s="126">
        <v>1</v>
      </c>
      <c r="J4" s="126">
        <v>2</v>
      </c>
      <c r="K4" s="126">
        <v>3</v>
      </c>
      <c r="L4" s="126" t="s">
        <v>22</v>
      </c>
      <c r="M4" s="126" t="s">
        <v>23</v>
      </c>
      <c r="N4" s="66" t="s">
        <v>36</v>
      </c>
      <c r="O4" s="90"/>
      <c r="P4" s="82"/>
      <c r="Q4" s="66" t="s">
        <v>35</v>
      </c>
      <c r="R4" s="90"/>
      <c r="S4" s="82"/>
      <c r="T4" s="66" t="s">
        <v>34</v>
      </c>
      <c r="U4" s="140"/>
      <c r="V4" s="140"/>
    </row>
    <row r="5" spans="1:22" x14ac:dyDescent="0.25">
      <c r="B5" s="77"/>
      <c r="G5" s="75">
        <v>0</v>
      </c>
      <c r="H5" s="75">
        <f>GCD!D5</f>
        <v>0</v>
      </c>
      <c r="I5" s="75">
        <v>0</v>
      </c>
      <c r="J5" s="75">
        <v>0</v>
      </c>
      <c r="K5" s="75">
        <v>0</v>
      </c>
      <c r="L5" s="63">
        <f t="shared" ref="L5:L10" si="0">J5-I5</f>
        <v>0</v>
      </c>
      <c r="M5" s="63">
        <f t="shared" ref="M5:M10" si="1">K5-I5</f>
        <v>0</v>
      </c>
      <c r="N5" s="75"/>
      <c r="O5" s="75"/>
      <c r="P5" s="75"/>
      <c r="Q5" s="76"/>
      <c r="R5" s="75"/>
      <c r="S5" s="75"/>
      <c r="T5" s="75"/>
      <c r="U5" s="76"/>
      <c r="V5" s="76"/>
    </row>
    <row r="6" spans="1:22" x14ac:dyDescent="0.25">
      <c r="B6" s="58">
        <v>1</v>
      </c>
      <c r="C6" s="104">
        <v>11239243</v>
      </c>
      <c r="D6" s="105">
        <v>63.34426655613548</v>
      </c>
      <c r="E6" s="105">
        <v>63.344402895450415</v>
      </c>
      <c r="F6" s="105">
        <v>63.344442275996762</v>
      </c>
      <c r="G6" s="75">
        <f>G5+C6/SUM(C$6:C$10)</f>
        <v>0.20335871345020987</v>
      </c>
      <c r="H6" s="75">
        <f>G6-G5</f>
        <v>0.20335871345020987</v>
      </c>
      <c r="I6" s="65">
        <f>I5+$H6*D6/D$11</f>
        <v>0.18239136536742201</v>
      </c>
      <c r="J6" s="65">
        <f>J5+$H6*E6/E$11</f>
        <v>0.18239151747028395</v>
      </c>
      <c r="K6" s="65">
        <f>K5+$H6*F6/F$11</f>
        <v>0.18239163981063519</v>
      </c>
      <c r="L6" s="139">
        <f t="shared" si="0"/>
        <v>1.5210286194444755E-7</v>
      </c>
      <c r="M6" s="139">
        <f t="shared" si="1"/>
        <v>2.7444321318292886E-7</v>
      </c>
      <c r="N6" s="134">
        <f>I6-J6</f>
        <v>-1.5210286194444755E-7</v>
      </c>
      <c r="O6" s="44">
        <f>IF(N6&lt;0,1,0)</f>
        <v>1</v>
      </c>
      <c r="P6" s="44">
        <f>IF(N6=0,"",O6)</f>
        <v>1</v>
      </c>
      <c r="Q6" s="134">
        <f>I6-K6</f>
        <v>-2.7444321318292886E-7</v>
      </c>
      <c r="R6" s="44">
        <f>IF(Q6&lt;0,1,0)</f>
        <v>1</v>
      </c>
      <c r="S6" s="44">
        <f>IF(Q6=0,"",R6)</f>
        <v>1</v>
      </c>
      <c r="T6" s="134">
        <f>J6-K6</f>
        <v>-1.223403512384813E-7</v>
      </c>
      <c r="U6" s="44">
        <f>IF(T6&lt;0,1,0)</f>
        <v>1</v>
      </c>
      <c r="V6" s="44">
        <f>IF(T6=0,"",U6)</f>
        <v>1</v>
      </c>
    </row>
    <row r="7" spans="1:22" x14ac:dyDescent="0.25">
      <c r="B7" s="58">
        <v>2</v>
      </c>
      <c r="C7" s="104">
        <v>11382030</v>
      </c>
      <c r="D7" s="105">
        <v>68.779325031978331</v>
      </c>
      <c r="E7" s="105">
        <v>68.77942022145163</v>
      </c>
      <c r="F7" s="105">
        <v>68.779421405743662</v>
      </c>
      <c r="G7" s="75">
        <f>G6+C7/SUM(C$6:C$10)</f>
        <v>0.40930096216319634</v>
      </c>
      <c r="H7" s="75">
        <f t="shared" ref="H7:H9" si="2">G7-G6</f>
        <v>0.20594224871298647</v>
      </c>
      <c r="I7" s="65">
        <f t="shared" ref="I7:K10" si="3">I6+$H7*D7/D$11</f>
        <v>0.38294823249317611</v>
      </c>
      <c r="J7" s="65">
        <f t="shared" si="3"/>
        <v>0.38294839774597417</v>
      </c>
      <c r="K7" s="65">
        <f t="shared" si="3"/>
        <v>0.3829485333804451</v>
      </c>
      <c r="L7" s="139">
        <f t="shared" si="0"/>
        <v>1.6525279805668092E-7</v>
      </c>
      <c r="M7" s="139">
        <f t="shared" si="1"/>
        <v>3.008872689891362E-7</v>
      </c>
      <c r="N7" s="134">
        <f>I7-J7</f>
        <v>-1.6525279805668092E-7</v>
      </c>
      <c r="O7" s="44">
        <f>IF(N7&lt;0,1,0)</f>
        <v>1</v>
      </c>
      <c r="P7" s="44">
        <f>IF(N7=0,"",O7)</f>
        <v>1</v>
      </c>
      <c r="Q7" s="134">
        <f>I7-K7</f>
        <v>-3.008872689891362E-7</v>
      </c>
      <c r="R7" s="44">
        <f>IF(Q7&lt;0,1,0)</f>
        <v>1</v>
      </c>
      <c r="S7" s="44">
        <f>IF(Q7=0,"",R7)</f>
        <v>1</v>
      </c>
      <c r="T7" s="134">
        <f>J7-K7</f>
        <v>-1.3563447093245529E-7</v>
      </c>
      <c r="U7" s="44">
        <f>IF(T7&lt;0,1,0)</f>
        <v>1</v>
      </c>
      <c r="V7" s="44">
        <f>IF(T7=0,"",U7)</f>
        <v>1</v>
      </c>
    </row>
    <row r="8" spans="1:22" x14ac:dyDescent="0.25">
      <c r="B8" s="58">
        <v>3</v>
      </c>
      <c r="C8" s="104">
        <v>11090316</v>
      </c>
      <c r="D8" s="105">
        <v>70.865612456999756</v>
      </c>
      <c r="E8" s="105">
        <v>70.865718865139243</v>
      </c>
      <c r="F8" s="105">
        <v>70.86569905641889</v>
      </c>
      <c r="G8" s="75">
        <f>G7+C8/SUM(C$6:C$10)</f>
        <v>0.6099650454574429</v>
      </c>
      <c r="H8" s="75">
        <f t="shared" si="2"/>
        <v>0.20066408329424656</v>
      </c>
      <c r="I8" s="65">
        <f t="shared" si="3"/>
        <v>0.58429254536667918</v>
      </c>
      <c r="J8" s="65">
        <f t="shared" si="3"/>
        <v>0.58429274749195004</v>
      </c>
      <c r="K8" s="65">
        <f t="shared" si="3"/>
        <v>0.58429283672512511</v>
      </c>
      <c r="L8" s="139">
        <f t="shared" si="0"/>
        <v>2.0212527085394782E-7</v>
      </c>
      <c r="M8" s="139">
        <f t="shared" si="1"/>
        <v>2.9135844592520499E-7</v>
      </c>
      <c r="N8" s="134">
        <f>I8-J8</f>
        <v>-2.0212527085394782E-7</v>
      </c>
      <c r="O8" s="44">
        <f>IF(N8&lt;0,1,0)</f>
        <v>1</v>
      </c>
      <c r="P8" s="44">
        <f>IF(N8=0,"",O8)</f>
        <v>1</v>
      </c>
      <c r="Q8" s="134">
        <f>I8-K8</f>
        <v>-2.9135844592520499E-7</v>
      </c>
      <c r="R8" s="44">
        <f>IF(Q8&lt;0,1,0)</f>
        <v>1</v>
      </c>
      <c r="S8" s="44">
        <f>IF(Q8=0,"",R8)</f>
        <v>1</v>
      </c>
      <c r="T8" s="134">
        <f>J8-K8</f>
        <v>-8.9233175071257165E-8</v>
      </c>
      <c r="U8" s="44">
        <f>IF(T8&lt;0,1,0)</f>
        <v>1</v>
      </c>
      <c r="V8" s="44">
        <f>IF(T8=0,"",U8)</f>
        <v>1</v>
      </c>
    </row>
    <row r="9" spans="1:22" x14ac:dyDescent="0.25">
      <c r="B9" s="58">
        <v>4</v>
      </c>
      <c r="C9" s="104">
        <v>10895919</v>
      </c>
      <c r="D9" s="105">
        <v>74.325243200694047</v>
      </c>
      <c r="E9" s="105">
        <v>74.325306908405608</v>
      </c>
      <c r="F9" s="105">
        <v>74.325285849028361</v>
      </c>
      <c r="G9" s="75">
        <f>G8+C9/SUM(C$6:C$10)</f>
        <v>0.807111781202697</v>
      </c>
      <c r="H9" s="75">
        <f t="shared" si="2"/>
        <v>0.1971467357452541</v>
      </c>
      <c r="I9" s="65">
        <f t="shared" si="3"/>
        <v>0.79176483817442378</v>
      </c>
      <c r="J9" s="65">
        <f t="shared" si="3"/>
        <v>0.79176494459930169</v>
      </c>
      <c r="K9" s="65">
        <f t="shared" si="3"/>
        <v>0.79176498522728389</v>
      </c>
      <c r="L9" s="139">
        <f t="shared" si="0"/>
        <v>1.0642487791034938E-7</v>
      </c>
      <c r="M9" s="139">
        <f t="shared" si="1"/>
        <v>1.4705286011107432E-7</v>
      </c>
      <c r="N9" s="134">
        <f>I9-J9</f>
        <v>-1.0642487791034938E-7</v>
      </c>
      <c r="O9" s="44">
        <f>IF(N9&lt;0,1,0)</f>
        <v>1</v>
      </c>
      <c r="P9" s="44">
        <f>IF(N9=0,"",O9)</f>
        <v>1</v>
      </c>
      <c r="Q9" s="134">
        <f>I9-K9</f>
        <v>-1.4705286011107432E-7</v>
      </c>
      <c r="R9" s="44">
        <f>IF(Q9&lt;0,1,0)</f>
        <v>1</v>
      </c>
      <c r="S9" s="44">
        <f>IF(Q9=0,"",R9)</f>
        <v>1</v>
      </c>
      <c r="T9" s="134">
        <f>J9-K9</f>
        <v>-4.0627982200724944E-8</v>
      </c>
      <c r="U9" s="44">
        <f>IF(T9&lt;0,1,0)</f>
        <v>1</v>
      </c>
      <c r="V9" s="44">
        <f>IF(T9=0,"",U9)</f>
        <v>1</v>
      </c>
    </row>
    <row r="10" spans="1:22" x14ac:dyDescent="0.25">
      <c r="B10" s="58">
        <v>5</v>
      </c>
      <c r="C10" s="104">
        <v>10660559</v>
      </c>
      <c r="D10" s="105">
        <v>76.245494462730292</v>
      </c>
      <c r="E10" s="105">
        <v>76.245556018439885</v>
      </c>
      <c r="F10" s="105">
        <v>76.245537401282249</v>
      </c>
      <c r="G10" s="75">
        <f>G9+C10/SUM(C$6:C$10)</f>
        <v>1</v>
      </c>
      <c r="H10" s="75">
        <f>G10-G9</f>
        <v>0.192888218797303</v>
      </c>
      <c r="I10" s="65">
        <f t="shared" si="3"/>
        <v>0.99999999999999989</v>
      </c>
      <c r="J10" s="65">
        <f t="shared" si="3"/>
        <v>1.0000000000000002</v>
      </c>
      <c r="K10" s="65">
        <f t="shared" si="3"/>
        <v>1</v>
      </c>
      <c r="L10" s="139">
        <f t="shared" si="0"/>
        <v>0</v>
      </c>
      <c r="M10" s="139">
        <f t="shared" si="1"/>
        <v>0</v>
      </c>
      <c r="N10" s="134">
        <f>I10-J10</f>
        <v>0</v>
      </c>
      <c r="O10" s="44">
        <f>IF(N10&lt;0,1,0)</f>
        <v>0</v>
      </c>
      <c r="P10" s="44" t="str">
        <f>IF(N10=0,"",O10)</f>
        <v/>
      </c>
      <c r="Q10" s="134">
        <f>I10-K10</f>
        <v>0</v>
      </c>
      <c r="R10" s="44">
        <f>IF(Q10&lt;0,1,0)</f>
        <v>0</v>
      </c>
      <c r="S10" s="44" t="str">
        <f>IF(Q10=0,"",R10)</f>
        <v/>
      </c>
      <c r="T10" s="134">
        <f>J10-K10</f>
        <v>0</v>
      </c>
      <c r="U10" s="44">
        <f>IF(T10&lt;0,1,0)</f>
        <v>0</v>
      </c>
      <c r="V10" s="44" t="str">
        <f>IF(T10=0,"",U10)</f>
        <v/>
      </c>
    </row>
    <row r="11" spans="1:22" ht="30.75" customHeight="1" x14ac:dyDescent="0.25">
      <c r="B11" s="123" t="s">
        <v>73</v>
      </c>
      <c r="C11" s="74"/>
      <c r="D11" s="141">
        <f>SUMPRODUCT($C$6:$C$10,D6:D10)/SUM($C$6:$C$10)</f>
        <v>70.62619727284374</v>
      </c>
      <c r="E11" s="141">
        <f t="shared" ref="E11:F11" si="4">SUMPRODUCT($C$6:$C$10,E6:E10)/SUM($C$6:$C$10)</f>
        <v>70.626290387595901</v>
      </c>
      <c r="F11" s="141">
        <f t="shared" si="4"/>
        <v>70.626286922152346</v>
      </c>
      <c r="G11" s="74"/>
      <c r="H11" s="74"/>
      <c r="I11" s="74"/>
      <c r="J11" s="74"/>
      <c r="K11" s="74"/>
      <c r="L11" s="74"/>
      <c r="M11" s="74"/>
      <c r="N11" s="44" t="s">
        <v>4</v>
      </c>
      <c r="O11" s="28"/>
      <c r="P11" s="44">
        <f>MIN(P6:P10)</f>
        <v>1</v>
      </c>
      <c r="Q11" s="44"/>
      <c r="R11" s="44"/>
      <c r="S11" s="44">
        <f>MIN(S6:S10)</f>
        <v>1</v>
      </c>
      <c r="T11" s="131"/>
      <c r="U11" s="44"/>
      <c r="V11" s="44">
        <f>MIN(V6:V10)</f>
        <v>1</v>
      </c>
    </row>
    <row r="12" spans="1:22" x14ac:dyDescent="0.25"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44" t="s">
        <v>5</v>
      </c>
      <c r="O12" s="28"/>
      <c r="P12" s="44">
        <f>MAX(P6:P10)</f>
        <v>1</v>
      </c>
      <c r="Q12" s="44"/>
      <c r="R12" s="44"/>
      <c r="S12" s="44">
        <f>MAX(S6:S10)</f>
        <v>1</v>
      </c>
      <c r="T12" s="45"/>
      <c r="U12" s="44"/>
      <c r="V12" s="44">
        <f>MAX(V6:V10)</f>
        <v>1</v>
      </c>
    </row>
    <row r="13" spans="1:22" ht="26.25" x14ac:dyDescent="0.25"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73"/>
      <c r="O13" s="28"/>
      <c r="P13" s="73" t="str">
        <f>IF(P12=1,"2 dominates  1", "1 dominates 2")</f>
        <v>2 dominates  1</v>
      </c>
      <c r="Q13" s="44"/>
      <c r="R13" s="44"/>
      <c r="S13" s="73" t="str">
        <f>IF(S12=1,"3 dominates 1", "1 dominates 3")</f>
        <v>3 dominates 1</v>
      </c>
      <c r="T13" s="45"/>
      <c r="U13" s="44"/>
      <c r="V13" s="73" t="str">
        <f>IF(V12=1,"3 dominates 2", "2 dominates 3")</f>
        <v>3 dominates 2</v>
      </c>
    </row>
    <row r="14" spans="1:22" x14ac:dyDescent="0.25">
      <c r="B14" s="60" t="s">
        <v>33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</row>
    <row r="15" spans="1:22" x14ac:dyDescent="0.25">
      <c r="B15" s="42" t="str">
        <f>IF(P$11=P$12,P$13,"no dominance")</f>
        <v>2 dominates  1</v>
      </c>
      <c r="C15" s="63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</row>
    <row r="16" spans="1:22" x14ac:dyDescent="0.25">
      <c r="B16" s="42" t="str">
        <f>IF(S$11=S$12,S$13,"no dominance")</f>
        <v>3 dominates 1</v>
      </c>
      <c r="C16" s="63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</row>
    <row r="17" spans="2:18" x14ac:dyDescent="0.25">
      <c r="B17" s="42" t="str">
        <f>IF(V$11=V$12,V$13,"no dominance")</f>
        <v>3 dominates 2</v>
      </c>
      <c r="C17" s="63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</row>
    <row r="20" spans="2:18" x14ac:dyDescent="0.25">
      <c r="N20" s="72"/>
    </row>
    <row r="21" spans="2:18" x14ac:dyDescent="0.25">
      <c r="N21" s="5"/>
      <c r="O21" s="5"/>
    </row>
    <row r="22" spans="2:18" x14ac:dyDescent="0.25">
      <c r="N22" s="5"/>
      <c r="O22" s="5"/>
    </row>
    <row r="23" spans="2:18" x14ac:dyDescent="0.25">
      <c r="N23" s="5"/>
      <c r="O23" s="5"/>
    </row>
  </sheetData>
  <mergeCells count="1">
    <mergeCell ref="I3:K3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17"/>
  <sheetViews>
    <sheetView zoomScaleNormal="100" workbookViewId="0"/>
  </sheetViews>
  <sheetFormatPr defaultRowHeight="15" x14ac:dyDescent="0.25"/>
  <cols>
    <col min="1" max="1" width="6.28515625" customWidth="1"/>
    <col min="2" max="9" width="11.7109375" customWidth="1"/>
    <col min="10" max="10" width="11.5703125" customWidth="1"/>
    <col min="11" max="11" width="6.7109375" customWidth="1"/>
    <col min="12" max="12" width="12.85546875" customWidth="1"/>
    <col min="13" max="13" width="12.5703125" customWidth="1"/>
    <col min="14" max="14" width="8.5703125" customWidth="1"/>
    <col min="15" max="15" width="12" customWidth="1"/>
    <col min="16" max="16" width="13.7109375" customWidth="1"/>
    <col min="17" max="17" width="10.7109375" customWidth="1"/>
    <col min="18" max="22" width="11.7109375" customWidth="1"/>
  </cols>
  <sheetData>
    <row r="1" spans="1:19" s="86" customFormat="1" ht="18.75" x14ac:dyDescent="0.3">
      <c r="A1" s="108" t="s">
        <v>77</v>
      </c>
    </row>
    <row r="3" spans="1:19" x14ac:dyDescent="0.25">
      <c r="B3" s="60" t="s">
        <v>39</v>
      </c>
      <c r="C3" s="64"/>
      <c r="D3" s="64"/>
      <c r="E3" s="84"/>
      <c r="F3" s="84"/>
      <c r="G3" s="84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</row>
    <row r="4" spans="1:19" ht="25.5" x14ac:dyDescent="0.25">
      <c r="B4" s="83" t="s">
        <v>72</v>
      </c>
      <c r="C4" s="21" t="s">
        <v>3</v>
      </c>
      <c r="D4" s="21" t="s">
        <v>65</v>
      </c>
      <c r="E4" s="21">
        <v>1</v>
      </c>
      <c r="F4" s="21">
        <v>2</v>
      </c>
      <c r="G4" s="21">
        <v>3</v>
      </c>
      <c r="H4" s="21" t="s">
        <v>22</v>
      </c>
      <c r="I4" s="21" t="s">
        <v>23</v>
      </c>
      <c r="J4" s="81" t="s">
        <v>36</v>
      </c>
      <c r="K4" s="80"/>
      <c r="L4" s="82"/>
      <c r="M4" s="81" t="s">
        <v>35</v>
      </c>
      <c r="N4" s="80"/>
      <c r="O4" s="79"/>
      <c r="P4" s="78" t="s">
        <v>34</v>
      </c>
      <c r="Q4" s="48"/>
      <c r="R4" s="48"/>
    </row>
    <row r="5" spans="1:19" x14ac:dyDescent="0.25">
      <c r="B5" s="83"/>
      <c r="C5" s="75">
        <v>0</v>
      </c>
      <c r="D5" s="75"/>
      <c r="E5" s="75">
        <v>0</v>
      </c>
      <c r="F5" s="75">
        <v>0</v>
      </c>
      <c r="G5" s="75">
        <v>0</v>
      </c>
      <c r="H5" s="63">
        <f t="shared" ref="H5:H10" si="0">F5-E5</f>
        <v>0</v>
      </c>
      <c r="I5" s="63">
        <f t="shared" ref="I5:I10" si="1">G5-E5</f>
        <v>0</v>
      </c>
      <c r="J5" s="85"/>
      <c r="K5" s="85"/>
      <c r="L5" s="85"/>
      <c r="M5" s="63"/>
      <c r="N5" s="63"/>
      <c r="O5" s="63"/>
      <c r="P5" s="63"/>
      <c r="Q5" s="63"/>
      <c r="R5" s="63"/>
    </row>
    <row r="6" spans="1:19" x14ac:dyDescent="0.25">
      <c r="B6" s="26">
        <v>1</v>
      </c>
      <c r="C6" s="65">
        <f>CD!G6</f>
        <v>0.20335871345020987</v>
      </c>
      <c r="D6" s="65">
        <f>C6-C5</f>
        <v>0.20335871345020987</v>
      </c>
      <c r="E6" s="65">
        <f>E5+$D6*CD!D6</f>
        <v>12.881608551302866</v>
      </c>
      <c r="F6" s="65">
        <f>F5+$D6*CD!E6</f>
        <v>12.881636277090545</v>
      </c>
      <c r="G6" s="65">
        <f>G5+$D6*CD!F6</f>
        <v>12.881644285467786</v>
      </c>
      <c r="H6" s="138">
        <f t="shared" si="0"/>
        <v>2.7725787678178904E-5</v>
      </c>
      <c r="I6" s="138">
        <f t="shared" si="1"/>
        <v>3.5734164919531963E-5</v>
      </c>
      <c r="J6" s="129">
        <f>E6-F6</f>
        <v>-2.7725787678178904E-5</v>
      </c>
      <c r="K6" s="44">
        <f>IF(J6&lt;0,1,0)</f>
        <v>1</v>
      </c>
      <c r="L6" s="44">
        <f>IF(J6=0,"",K6)</f>
        <v>1</v>
      </c>
      <c r="M6" s="129">
        <f>E6-G6</f>
        <v>-3.5734164919531963E-5</v>
      </c>
      <c r="N6" s="44">
        <f>IF(M6&lt;0,1,0)</f>
        <v>1</v>
      </c>
      <c r="O6" s="44">
        <f>IF(M6=0,"",N6)</f>
        <v>1</v>
      </c>
      <c r="P6" s="129">
        <f>F6-G6</f>
        <v>-8.0083772413530596E-6</v>
      </c>
      <c r="Q6" s="44">
        <f>IF(P6&lt;0,1,0)</f>
        <v>1</v>
      </c>
      <c r="R6" s="44">
        <f>IF(P6=0,"",Q6)</f>
        <v>1</v>
      </c>
      <c r="S6" s="5"/>
    </row>
    <row r="7" spans="1:19" x14ac:dyDescent="0.25">
      <c r="B7" s="26">
        <v>2</v>
      </c>
      <c r="C7" s="65">
        <f>CD!G7</f>
        <v>0.40930096216319634</v>
      </c>
      <c r="D7" s="65">
        <f>C7-C6</f>
        <v>0.20594224871298647</v>
      </c>
      <c r="E7" s="65">
        <f>E6+$D7*CD!D7</f>
        <v>27.046177413349884</v>
      </c>
      <c r="F7" s="65">
        <f>F6+$D7*CD!E7</f>
        <v>27.046224742671747</v>
      </c>
      <c r="G7" s="65">
        <f>G6+$D7*CD!F7</f>
        <v>27.046232994944752</v>
      </c>
      <c r="H7" s="138">
        <f t="shared" si="0"/>
        <v>4.732932186257699E-5</v>
      </c>
      <c r="I7" s="138">
        <f t="shared" si="1"/>
        <v>5.5581594867959438E-5</v>
      </c>
      <c r="J7" s="129">
        <f>E7-F7</f>
        <v>-4.732932186257699E-5</v>
      </c>
      <c r="K7" s="44">
        <f>IF(J7&lt;0,1,0)</f>
        <v>1</v>
      </c>
      <c r="L7" s="44">
        <f>IF(J7=0,"",K7)</f>
        <v>1</v>
      </c>
      <c r="M7" s="129">
        <f>E7-G7</f>
        <v>-5.5581594867959438E-5</v>
      </c>
      <c r="N7" s="44">
        <f>IF(M7&lt;0,1,0)</f>
        <v>1</v>
      </c>
      <c r="O7" s="44">
        <f>IF(M7=0,"",N7)</f>
        <v>1</v>
      </c>
      <c r="P7" s="129">
        <f>F7-G7</f>
        <v>-8.2522730053824489E-6</v>
      </c>
      <c r="Q7" s="44">
        <f>IF(P7&lt;0,1,0)</f>
        <v>1</v>
      </c>
      <c r="R7" s="44">
        <f>IF(P7=0,"",Q7)</f>
        <v>1</v>
      </c>
      <c r="S7" s="5"/>
    </row>
    <row r="8" spans="1:19" x14ac:dyDescent="0.25">
      <c r="B8" s="26">
        <v>3</v>
      </c>
      <c r="C8" s="65">
        <f>CD!G8</f>
        <v>0.6099650454574429</v>
      </c>
      <c r="D8" s="65">
        <f>C8-C7</f>
        <v>0.20066408329424656</v>
      </c>
      <c r="E8" s="65">
        <f>E7+$D8*CD!D8</f>
        <v>41.266360574119076</v>
      </c>
      <c r="F8" s="65">
        <f>F7+$D8*CD!E8</f>
        <v>41.26642925573271</v>
      </c>
      <c r="G8" s="65">
        <f>G7+$D8*CD!F8</f>
        <v>41.266433533107005</v>
      </c>
      <c r="H8" s="138">
        <f t="shared" si="0"/>
        <v>6.8681613633714278E-5</v>
      </c>
      <c r="I8" s="138">
        <f t="shared" si="1"/>
        <v>7.2958987928473107E-5</v>
      </c>
      <c r="J8" s="129">
        <f>E8-F8</f>
        <v>-6.8681613633714278E-5</v>
      </c>
      <c r="K8" s="44">
        <f>IF(J8&lt;0,1,0)</f>
        <v>1</v>
      </c>
      <c r="L8" s="44">
        <f>IF(J8=0,"",K8)</f>
        <v>1</v>
      </c>
      <c r="M8" s="129">
        <f>E8-G8</f>
        <v>-7.2958987928473107E-5</v>
      </c>
      <c r="N8" s="44">
        <f>IF(M8&lt;0,1,0)</f>
        <v>1</v>
      </c>
      <c r="O8" s="44">
        <f>IF(M8=0,"",N8)</f>
        <v>1</v>
      </c>
      <c r="P8" s="129">
        <f>F8-G8</f>
        <v>-4.2773742947588289E-6</v>
      </c>
      <c r="Q8" s="44">
        <f>IF(P8&lt;0,1,0)</f>
        <v>1</v>
      </c>
      <c r="R8" s="44">
        <f>IF(P8=0,"",Q8)</f>
        <v>1</v>
      </c>
      <c r="S8" s="5"/>
    </row>
    <row r="9" spans="1:19" x14ac:dyDescent="0.25">
      <c r="B9" s="26">
        <v>4</v>
      </c>
      <c r="C9" s="65">
        <f>CD!G9</f>
        <v>0.807111781202697</v>
      </c>
      <c r="D9" s="65">
        <f>C9-C8</f>
        <v>0.1971467357452541</v>
      </c>
      <c r="E9" s="65">
        <f>E8+$D9*CD!D9</f>
        <v>55.919339654608052</v>
      </c>
      <c r="F9" s="65">
        <f>F8+$D9*CD!E9</f>
        <v>55.919420895989063</v>
      </c>
      <c r="G9" s="65">
        <f>G8+$D9*CD!F9</f>
        <v>55.919421021575872</v>
      </c>
      <c r="H9" s="138">
        <f t="shared" si="0"/>
        <v>8.1241381010954683E-5</v>
      </c>
      <c r="I9" s="138">
        <f t="shared" si="1"/>
        <v>8.1366967819462843E-5</v>
      </c>
      <c r="J9" s="129">
        <f>E9-F9</f>
        <v>-8.1241381010954683E-5</v>
      </c>
      <c r="K9" s="44">
        <f>IF(J9&lt;0,1,0)</f>
        <v>1</v>
      </c>
      <c r="L9" s="44">
        <f>IF(J9=0,"",K9)</f>
        <v>1</v>
      </c>
      <c r="M9" s="129">
        <f>E9-G9</f>
        <v>-8.1366967819462843E-5</v>
      </c>
      <c r="N9" s="44">
        <f>IF(M9&lt;0,1,0)</f>
        <v>1</v>
      </c>
      <c r="O9" s="44">
        <f>IF(M9=0,"",N9)</f>
        <v>1</v>
      </c>
      <c r="P9" s="129">
        <f>F9-G9</f>
        <v>-1.2558680850816017E-7</v>
      </c>
      <c r="Q9" s="44">
        <f>IF(P9&lt;0,1,0)</f>
        <v>1</v>
      </c>
      <c r="R9" s="44">
        <f>IF(P9=0,"",Q9)</f>
        <v>1</v>
      </c>
      <c r="S9" s="5"/>
    </row>
    <row r="10" spans="1:19" x14ac:dyDescent="0.25">
      <c r="B10" s="26">
        <v>5</v>
      </c>
      <c r="C10" s="65">
        <f>CD!G10</f>
        <v>1</v>
      </c>
      <c r="D10" s="65">
        <f>C10-C9</f>
        <v>0.192888218797303</v>
      </c>
      <c r="E10" s="65">
        <f>E9+$D10*CD!D10</f>
        <v>70.626197272843726</v>
      </c>
      <c r="F10" s="65">
        <f>F9+$D10*CD!E10</f>
        <v>70.626290387595915</v>
      </c>
      <c r="G10" s="65">
        <f>G9+$D10*CD!F10</f>
        <v>70.626286922152346</v>
      </c>
      <c r="H10" s="138">
        <f t="shared" si="0"/>
        <v>9.3114752189649153E-5</v>
      </c>
      <c r="I10" s="138">
        <f t="shared" si="1"/>
        <v>8.9649308620209922E-5</v>
      </c>
      <c r="J10" s="129">
        <f>E10-F10</f>
        <v>-9.3114752189649153E-5</v>
      </c>
      <c r="K10" s="44">
        <f>IF(J10&lt;0,1,0)</f>
        <v>1</v>
      </c>
      <c r="L10" s="44">
        <f>IF(J10=0,"",K10)</f>
        <v>1</v>
      </c>
      <c r="M10" s="129">
        <f>E10-G10</f>
        <v>-8.9649308620209922E-5</v>
      </c>
      <c r="N10" s="44">
        <f>IF(M10&lt;0,1,0)</f>
        <v>1</v>
      </c>
      <c r="O10" s="44">
        <f>IF(M10=0,"",N10)</f>
        <v>1</v>
      </c>
      <c r="P10" s="129">
        <f>F10-G10</f>
        <v>3.4654435694392305E-6</v>
      </c>
      <c r="Q10" s="44">
        <f>IF(P10&lt;0,1,0)</f>
        <v>0</v>
      </c>
      <c r="R10" s="44">
        <f>IF(P10=0,"",Q10)</f>
        <v>0</v>
      </c>
      <c r="S10" s="5"/>
    </row>
    <row r="11" spans="1:19" x14ac:dyDescent="0.25">
      <c r="B11" s="62"/>
      <c r="C11" s="62"/>
      <c r="D11" s="62"/>
      <c r="E11" s="62"/>
      <c r="F11" s="62"/>
      <c r="G11" s="62"/>
      <c r="H11" s="62"/>
      <c r="I11" s="62"/>
      <c r="J11" s="44" t="s">
        <v>4</v>
      </c>
      <c r="K11" s="28"/>
      <c r="L11" s="44">
        <f>MIN(L6:L10)</f>
        <v>1</v>
      </c>
      <c r="M11" s="44"/>
      <c r="N11" s="44"/>
      <c r="O11" s="44">
        <f>MIN(O6:O10)</f>
        <v>1</v>
      </c>
      <c r="P11" s="45"/>
      <c r="Q11" s="44"/>
      <c r="R11" s="44">
        <f>MIN(R6:R10)</f>
        <v>0</v>
      </c>
      <c r="S11" s="5"/>
    </row>
    <row r="12" spans="1:19" x14ac:dyDescent="0.25">
      <c r="B12" s="62"/>
      <c r="C12" s="62"/>
      <c r="D12" s="62"/>
      <c r="E12" s="62"/>
      <c r="F12" s="62"/>
      <c r="G12" s="62"/>
      <c r="H12" s="62"/>
      <c r="I12" s="62"/>
      <c r="J12" s="44" t="s">
        <v>5</v>
      </c>
      <c r="K12" s="28"/>
      <c r="L12" s="44">
        <f>MAX(L6:L10)</f>
        <v>1</v>
      </c>
      <c r="M12" s="44"/>
      <c r="N12" s="44"/>
      <c r="O12" s="44">
        <f>MAX(O6:O10)</f>
        <v>1</v>
      </c>
      <c r="P12" s="45"/>
      <c r="Q12" s="44"/>
      <c r="R12" s="44">
        <f>MAX(R6:R10)</f>
        <v>1</v>
      </c>
      <c r="S12" s="5"/>
    </row>
    <row r="13" spans="1:19" ht="26.25" x14ac:dyDescent="0.25">
      <c r="B13" s="62"/>
      <c r="C13" s="71"/>
      <c r="D13" s="71"/>
      <c r="E13" s="62"/>
      <c r="F13" s="62"/>
      <c r="G13" s="62"/>
      <c r="H13" s="62"/>
      <c r="I13" s="62"/>
      <c r="J13" s="73"/>
      <c r="K13" s="28"/>
      <c r="L13" s="73" t="str">
        <f>IF(L12=1,"2 dominates 1", "1 dominates 2")</f>
        <v>2 dominates 1</v>
      </c>
      <c r="M13" s="44"/>
      <c r="N13" s="44"/>
      <c r="O13" s="73" t="str">
        <f>IF(O12=1,"3 dominates 1", "1 dominates 3")</f>
        <v>3 dominates 1</v>
      </c>
      <c r="P13" s="45"/>
      <c r="Q13" s="44"/>
      <c r="R13" s="73" t="str">
        <f>IF(R12=1,"3 dominates 2", "2 dominates 3")</f>
        <v>3 dominates 2</v>
      </c>
      <c r="S13" s="5"/>
    </row>
    <row r="14" spans="1:19" x14ac:dyDescent="0.25">
      <c r="B14" s="60" t="s">
        <v>38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36"/>
      <c r="O14" s="36"/>
      <c r="P14" s="36"/>
      <c r="Q14" s="36"/>
      <c r="R14" s="36"/>
      <c r="S14" s="5"/>
    </row>
    <row r="15" spans="1:19" x14ac:dyDescent="0.25">
      <c r="B15" s="42" t="str">
        <f>IF(L11=L12,O13,"no GC dominance")</f>
        <v>3 dominates 1</v>
      </c>
      <c r="C15" s="63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</row>
    <row r="16" spans="1:19" x14ac:dyDescent="0.25">
      <c r="B16" s="42" t="str">
        <f>IF(O11=O12,O13,"no GC dominance")</f>
        <v>3 dominates 1</v>
      </c>
      <c r="C16" s="63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</row>
    <row r="17" spans="2:18" x14ac:dyDescent="0.25">
      <c r="B17" s="42" t="str">
        <f>IF(R11=R12,R13,"no GC dominance")</f>
        <v>no GC dominance</v>
      </c>
      <c r="C17" s="63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Title sheet</vt:lpstr>
      <vt:lpstr>PD</vt:lpstr>
      <vt:lpstr>FOSD</vt:lpstr>
      <vt:lpstr>LD</vt:lpstr>
      <vt:lpstr>GLD</vt:lpstr>
      <vt:lpstr>SOGLD</vt:lpstr>
      <vt:lpstr>SES Only</vt:lpstr>
      <vt:lpstr>CD</vt:lpstr>
      <vt:lpstr>GCD</vt:lpstr>
      <vt:lpstr>SOGCD</vt:lpstr>
    </vt:vector>
  </TitlesOfParts>
  <Company>EUR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Van Ourti</dc:creator>
  <cp:lastModifiedBy>Richard</cp:lastModifiedBy>
  <dcterms:created xsi:type="dcterms:W3CDTF">2018-04-10T20:03:56Z</dcterms:created>
  <dcterms:modified xsi:type="dcterms:W3CDTF">2020-09-19T10:22:57Z</dcterms:modified>
</cp:coreProperties>
</file>